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royhenikoff/Dropbox (Personal)/Files/Teaching/Financial Modeling files/"/>
    </mc:Choice>
  </mc:AlternateContent>
  <xr:revisionPtr revIDLastSave="0" documentId="13_ncr:1_{DB7528A1-3B31-C741-8653-F0642383E682}" xr6:coauthVersionLast="47" xr6:coauthVersionMax="47" xr10:uidLastSave="{00000000-0000-0000-0000-000000000000}"/>
  <bookViews>
    <workbookView xWindow="0" yWindow="500" windowWidth="15380" windowHeight="26600" tabRatio="836" xr2:uid="{00000000-000D-0000-FFFF-FFFF00000000}"/>
    <workbookView xWindow="15080" yWindow="500" windowWidth="35480" windowHeight="26600" tabRatio="500" activeTab="4" xr2:uid="{00000000-000D-0000-FFFF-FFFF01000000}"/>
  </bookViews>
  <sheets>
    <sheet name="Assumptions" sheetId="1" r:id="rId1"/>
    <sheet name="Charts" sheetId="13" r:id="rId2"/>
    <sheet name="Annual Income Statement" sheetId="8" r:id="rId3"/>
    <sheet name="Annual Balance Sheet" sheetId="10" r:id="rId4"/>
    <sheet name="Annual Cash Flow" sheetId="11" r:id="rId5"/>
    <sheet name="Monthly Income Statement" sheetId="2" r:id="rId6"/>
    <sheet name="Monthly Balance Sheet" sheetId="3" r:id="rId7"/>
    <sheet name="Monthly Cash Flow" sheetId="9" r:id="rId8"/>
    <sheet name="Traffic Detail" sheetId="4" r:id="rId9"/>
    <sheet name="Sales Detail" sheetId="6" r:id="rId10"/>
    <sheet name="Employees" sheetId="7" r:id="rId11"/>
    <sheet name="Unit Economics" sheetId="12" r:id="rId12"/>
    <sheet name="Waterfalls" sheetId="14" r:id="rId13"/>
  </sheets>
  <definedNames>
    <definedName name="AverageAPDays">Assumptions!$C$56</definedName>
    <definedName name="AverageARDays">Assumptions!$C$55</definedName>
    <definedName name="AverageCPCGoogle">Assumptions!$C$28</definedName>
    <definedName name="AverageCPConFACEBOOK">Assumptions!$C$29</definedName>
    <definedName name="AverageCPCSpend">Assumptions!#REF!</definedName>
    <definedName name="CPCGoogle">Assumptions!#REF!</definedName>
    <definedName name="CPMGrowthPerMonth">Assumptions!$C$8</definedName>
    <definedName name="DirectTrafficMultiplier">Assumptions!$C$26</definedName>
    <definedName name="eCommerceMargin">Assumptions!$C$34</definedName>
    <definedName name="FacebookToEcommerce">Assumptions!$C$19</definedName>
    <definedName name="FacebookToSubscriber">Assumptions!$C$16</definedName>
    <definedName name="InternetBaseCost">Assumptions!$C$36</definedName>
    <definedName name="InternetCostPer1MMVisits">Assumptions!$C$37</definedName>
    <definedName name="InventoryDaysOnHand">Assumptions!$C$57</definedName>
    <definedName name="LegalAndAccountingCostPerMonth">Assumptions!$C$44</definedName>
    <definedName name="MaxCPMOnAdsSold">Assumptions!$C$9</definedName>
    <definedName name="MaximumMktgSpendOfCash">Assumptions!$C$13</definedName>
    <definedName name="MonthlySubscriptionChurn">Assumptions!$C$5</definedName>
    <definedName name="MonthlySubscriptionPrice">Assumptions!$C$4</definedName>
    <definedName name="OpeningCashBalance">Assumptions!$C$50</definedName>
    <definedName name="OptionPoolPercentage">Assumptions!$C$52</definedName>
    <definedName name="OrdersPerWarehouseHelpPerson">Assumptions!$C$39</definedName>
    <definedName name="OrganicToEcommerceConversion">Assumptions!$C$23</definedName>
    <definedName name="OrganicToSubscriberConversion">Assumptions!$C$22</definedName>
    <definedName name="OrganicTrafficMonthlyGrowthRate">Assumptions!$C$25</definedName>
    <definedName name="PagesPerVisit">Assumptions!$C$7</definedName>
    <definedName name="PreMoneyMonth1">Assumptions!$C$51</definedName>
    <definedName name="RecruitingPerNewEmployee">Assumptions!$C$48</definedName>
    <definedName name="RentPerEmployee">Assumptions!$C$42</definedName>
    <definedName name="RevenueMultiple">Assumptions!$C$59</definedName>
    <definedName name="SEMToEcommerce">Assumptions!$C$18</definedName>
    <definedName name="SEMToSubscriber">Assumptions!$C$15</definedName>
    <definedName name="SeriesAFunding">Assumptions!$C$53</definedName>
    <definedName name="SteadyStateMonthlyFBSpend">Assumptions!$C$12</definedName>
    <definedName name="SteadyStateMonthlySEMSpend">Assumptions!$C$11</definedName>
    <definedName name="SubscriptionMargin">Assumptions!$C$33</definedName>
    <definedName name="TaxesAndBenefits">Assumptions!$C$41</definedName>
    <definedName name="TechCostPerEmployeePerMonth">Assumptions!$C$43</definedName>
    <definedName name="TrainingPerEmployeePerMonth">Assumptions!$C$47</definedName>
    <definedName name="TravelCostPerEmployeePerMonth">Assumptions!$C$46</definedName>
    <definedName name="VIsitsPerFBPicturePost">Assumptions!$C$30</definedName>
    <definedName name="VIsitsPerFBVideoPost">Assumptions!$C$31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6" l="1"/>
  <c r="D10" i="6"/>
  <c r="E10" i="6"/>
  <c r="F10" i="6"/>
  <c r="G10" i="6"/>
  <c r="C10" i="6"/>
  <c r="C22" i="4"/>
  <c r="E2" i="9"/>
  <c r="F2" i="9"/>
  <c r="G2" i="9"/>
  <c r="C2" i="9"/>
  <c r="C2" i="3"/>
  <c r="D2" i="2"/>
  <c r="E2" i="2" s="1"/>
  <c r="F2" i="2" s="1"/>
  <c r="G2" i="2" s="1"/>
  <c r="G2" i="3" s="1"/>
  <c r="D8" i="6"/>
  <c r="E8" i="6"/>
  <c r="F8" i="6"/>
  <c r="G8" i="6"/>
  <c r="C8" i="6"/>
  <c r="D6" i="6"/>
  <c r="E6" i="6"/>
  <c r="F6" i="6"/>
  <c r="G6" i="6"/>
  <c r="C6" i="6"/>
  <c r="D4" i="6"/>
  <c r="E4" i="6"/>
  <c r="F4" i="6"/>
  <c r="G4" i="6"/>
  <c r="C4" i="6"/>
  <c r="I3" i="4"/>
  <c r="I5" i="4" s="1"/>
  <c r="I5" i="6" s="1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AR4" i="6"/>
  <c r="AS4" i="6"/>
  <c r="AT4" i="6"/>
  <c r="AU4" i="6"/>
  <c r="AV4" i="6"/>
  <c r="AW4" i="6"/>
  <c r="AX4" i="6"/>
  <c r="AY4" i="6"/>
  <c r="AZ4" i="6"/>
  <c r="BA4" i="6"/>
  <c r="BB4" i="6"/>
  <c r="BC4" i="6"/>
  <c r="BD4" i="6"/>
  <c r="BE4" i="6"/>
  <c r="BF4" i="6"/>
  <c r="BG4" i="6"/>
  <c r="BH4" i="6"/>
  <c r="BI4" i="6"/>
  <c r="BJ4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H6" i="6"/>
  <c r="H8" i="6"/>
  <c r="H4" i="6"/>
  <c r="G4" i="4"/>
  <c r="F4" i="4"/>
  <c r="E4" i="4"/>
  <c r="D4" i="4"/>
  <c r="C4" i="4"/>
  <c r="D8" i="4"/>
  <c r="E8" i="4"/>
  <c r="F8" i="4"/>
  <c r="G8" i="4"/>
  <c r="C8" i="4"/>
  <c r="I16" i="4"/>
  <c r="J16" i="4"/>
  <c r="K16" i="4"/>
  <c r="L16" i="4"/>
  <c r="M16" i="4"/>
  <c r="N16" i="4"/>
  <c r="O16" i="4"/>
  <c r="O17" i="4" s="1"/>
  <c r="P16" i="4"/>
  <c r="P17" i="4" s="1"/>
  <c r="Q16" i="4"/>
  <c r="Q17" i="4" s="1"/>
  <c r="R16" i="4"/>
  <c r="R17" i="4" s="1"/>
  <c r="S16" i="4"/>
  <c r="S17" i="4" s="1"/>
  <c r="T16" i="4"/>
  <c r="T17" i="4" s="1"/>
  <c r="U16" i="4"/>
  <c r="V16" i="4"/>
  <c r="W16" i="4"/>
  <c r="X16" i="4"/>
  <c r="Y16" i="4"/>
  <c r="Z16" i="4"/>
  <c r="AA16" i="4"/>
  <c r="AA17" i="4" s="1"/>
  <c r="AB16" i="4"/>
  <c r="AB17" i="4" s="1"/>
  <c r="AC16" i="4"/>
  <c r="AC17" i="4" s="1"/>
  <c r="AD16" i="4"/>
  <c r="AD17" i="4" s="1"/>
  <c r="AE16" i="4"/>
  <c r="AE17" i="4" s="1"/>
  <c r="AF16" i="4"/>
  <c r="AF17" i="4" s="1"/>
  <c r="AG16" i="4"/>
  <c r="AH16" i="4"/>
  <c r="AI16" i="4"/>
  <c r="AJ16" i="4"/>
  <c r="AK16" i="4"/>
  <c r="AL16" i="4"/>
  <c r="AM16" i="4"/>
  <c r="AM17" i="4" s="1"/>
  <c r="AN16" i="4"/>
  <c r="AN17" i="4" s="1"/>
  <c r="AO16" i="4"/>
  <c r="AO17" i="4" s="1"/>
  <c r="AP16" i="4"/>
  <c r="AP17" i="4" s="1"/>
  <c r="AQ16" i="4"/>
  <c r="AQ17" i="4" s="1"/>
  <c r="AR16" i="4"/>
  <c r="AR17" i="4" s="1"/>
  <c r="AS16" i="4"/>
  <c r="AT16" i="4"/>
  <c r="AU16" i="4"/>
  <c r="AV16" i="4"/>
  <c r="AW16" i="4"/>
  <c r="AX16" i="4"/>
  <c r="AY16" i="4"/>
  <c r="AY17" i="4" s="1"/>
  <c r="AZ16" i="4"/>
  <c r="AZ17" i="4" s="1"/>
  <c r="BA16" i="4"/>
  <c r="BA17" i="4" s="1"/>
  <c r="BB16" i="4"/>
  <c r="BB17" i="4" s="1"/>
  <c r="BC16" i="4"/>
  <c r="BC17" i="4" s="1"/>
  <c r="BD16" i="4"/>
  <c r="BD17" i="4" s="1"/>
  <c r="BE16" i="4"/>
  <c r="BF16" i="4"/>
  <c r="BG16" i="4"/>
  <c r="BH16" i="4"/>
  <c r="BI16" i="4"/>
  <c r="BJ16" i="4"/>
  <c r="I17" i="4"/>
  <c r="J17" i="4"/>
  <c r="K17" i="4"/>
  <c r="L17" i="4"/>
  <c r="M17" i="4"/>
  <c r="N17" i="4"/>
  <c r="U17" i="4"/>
  <c r="V17" i="4"/>
  <c r="W17" i="4"/>
  <c r="X17" i="4"/>
  <c r="Y17" i="4"/>
  <c r="Z17" i="4"/>
  <c r="AG17" i="4"/>
  <c r="AH17" i="4"/>
  <c r="AI17" i="4"/>
  <c r="AJ17" i="4"/>
  <c r="AK17" i="4"/>
  <c r="AL17" i="4"/>
  <c r="AS17" i="4"/>
  <c r="AT17" i="4"/>
  <c r="AU17" i="4"/>
  <c r="AV17" i="4"/>
  <c r="AW17" i="4"/>
  <c r="AX17" i="4"/>
  <c r="BE17" i="4"/>
  <c r="BF17" i="4"/>
  <c r="BG17" i="4"/>
  <c r="BH17" i="4"/>
  <c r="BI17" i="4"/>
  <c r="BJ17" i="4"/>
  <c r="I12" i="4"/>
  <c r="J12" i="4"/>
  <c r="K12" i="4"/>
  <c r="L12" i="4"/>
  <c r="M12" i="4"/>
  <c r="N12" i="4"/>
  <c r="O12" i="4"/>
  <c r="O13" i="4" s="1"/>
  <c r="P12" i="4"/>
  <c r="P13" i="4" s="1"/>
  <c r="Q12" i="4"/>
  <c r="Q13" i="4" s="1"/>
  <c r="R12" i="4"/>
  <c r="R13" i="4" s="1"/>
  <c r="S12" i="4"/>
  <c r="S13" i="4" s="1"/>
  <c r="T12" i="4"/>
  <c r="T13" i="4" s="1"/>
  <c r="U12" i="4"/>
  <c r="V12" i="4"/>
  <c r="W12" i="4"/>
  <c r="X12" i="4"/>
  <c r="Y12" i="4"/>
  <c r="Z12" i="4"/>
  <c r="AA12" i="4"/>
  <c r="AA13" i="4" s="1"/>
  <c r="AB12" i="4"/>
  <c r="AB13" i="4" s="1"/>
  <c r="AC12" i="4"/>
  <c r="AC13" i="4" s="1"/>
  <c r="AD12" i="4"/>
  <c r="AD13" i="4" s="1"/>
  <c r="AE12" i="4"/>
  <c r="AE13" i="4" s="1"/>
  <c r="AF12" i="4"/>
  <c r="AF13" i="4" s="1"/>
  <c r="AG12" i="4"/>
  <c r="AH12" i="4"/>
  <c r="AI12" i="4"/>
  <c r="AJ12" i="4"/>
  <c r="AK12" i="4"/>
  <c r="AL12" i="4"/>
  <c r="AM12" i="4"/>
  <c r="AM13" i="4" s="1"/>
  <c r="AN12" i="4"/>
  <c r="AN13" i="4" s="1"/>
  <c r="AO12" i="4"/>
  <c r="AO13" i="4" s="1"/>
  <c r="AP12" i="4"/>
  <c r="AP13" i="4" s="1"/>
  <c r="AQ12" i="4"/>
  <c r="AQ13" i="4" s="1"/>
  <c r="AR12" i="4"/>
  <c r="AR13" i="4" s="1"/>
  <c r="AS12" i="4"/>
  <c r="AT12" i="4"/>
  <c r="AU12" i="4"/>
  <c r="AV12" i="4"/>
  <c r="AW12" i="4"/>
  <c r="AX12" i="4"/>
  <c r="AY12" i="4"/>
  <c r="AY13" i="4" s="1"/>
  <c r="AZ12" i="4"/>
  <c r="AZ13" i="4" s="1"/>
  <c r="BA12" i="4"/>
  <c r="BA13" i="4" s="1"/>
  <c r="BB12" i="4"/>
  <c r="BB13" i="4" s="1"/>
  <c r="BC12" i="4"/>
  <c r="BC13" i="4" s="1"/>
  <c r="BD12" i="4"/>
  <c r="BD13" i="4" s="1"/>
  <c r="BE12" i="4"/>
  <c r="BF12" i="4"/>
  <c r="BG12" i="4"/>
  <c r="BH12" i="4"/>
  <c r="BI12" i="4"/>
  <c r="BJ12" i="4"/>
  <c r="I13" i="4"/>
  <c r="J13" i="4"/>
  <c r="K13" i="4"/>
  <c r="L13" i="4"/>
  <c r="M13" i="4"/>
  <c r="N13" i="4"/>
  <c r="U13" i="4"/>
  <c r="V13" i="4"/>
  <c r="W13" i="4"/>
  <c r="X13" i="4"/>
  <c r="Y13" i="4"/>
  <c r="Z13" i="4"/>
  <c r="AG13" i="4"/>
  <c r="AH13" i="4"/>
  <c r="AI13" i="4"/>
  <c r="AJ13" i="4"/>
  <c r="AK13" i="4"/>
  <c r="AL13" i="4"/>
  <c r="AS13" i="4"/>
  <c r="AT13" i="4"/>
  <c r="AU13" i="4"/>
  <c r="AV13" i="4"/>
  <c r="AW13" i="4"/>
  <c r="AX13" i="4"/>
  <c r="BE13" i="4"/>
  <c r="BF13" i="4"/>
  <c r="BG13" i="4"/>
  <c r="BH13" i="4"/>
  <c r="BI13" i="4"/>
  <c r="BJ13" i="4"/>
  <c r="H17" i="4"/>
  <c r="H13" i="4"/>
  <c r="H16" i="4"/>
  <c r="H12" i="4"/>
  <c r="D16" i="4"/>
  <c r="E16" i="4"/>
  <c r="F16" i="4"/>
  <c r="G16" i="4"/>
  <c r="C16" i="4"/>
  <c r="D12" i="4"/>
  <c r="E12" i="4"/>
  <c r="F12" i="4"/>
  <c r="G12" i="4"/>
  <c r="C12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H8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BE4" i="4"/>
  <c r="BF4" i="4"/>
  <c r="BG4" i="4"/>
  <c r="BH4" i="4"/>
  <c r="BI4" i="4"/>
  <c r="BJ4" i="4"/>
  <c r="H4" i="4"/>
  <c r="F2" i="3" l="1"/>
  <c r="D2" i="3"/>
  <c r="D2" i="9"/>
  <c r="E2" i="3"/>
  <c r="C2" i="7"/>
  <c r="G2" i="7"/>
  <c r="F2" i="7"/>
  <c r="E2" i="7"/>
  <c r="D2" i="7"/>
  <c r="G15" i="3"/>
  <c r="C15" i="3"/>
  <c r="D15" i="3"/>
  <c r="E15" i="3"/>
  <c r="F15" i="3"/>
  <c r="F20" i="3"/>
  <c r="E20" i="3"/>
  <c r="D20" i="3"/>
  <c r="C20" i="3"/>
  <c r="G20" i="3"/>
  <c r="G7" i="9"/>
  <c r="G9" i="9" s="1"/>
  <c r="D9" i="9"/>
  <c r="E6" i="9"/>
  <c r="F6" i="9"/>
  <c r="G6" i="9"/>
  <c r="E7" i="9"/>
  <c r="E9" i="9" s="1"/>
  <c r="F7" i="9"/>
  <c r="F9" i="9" s="1"/>
  <c r="D12" i="9"/>
  <c r="E12" i="9"/>
  <c r="F12" i="9"/>
  <c r="G12" i="9"/>
  <c r="C12" i="9"/>
  <c r="E13" i="9"/>
  <c r="F13" i="9"/>
  <c r="G14" i="9"/>
  <c r="E14" i="9"/>
  <c r="F14" i="9"/>
  <c r="C14" i="9"/>
  <c r="C13" i="9"/>
  <c r="C7" i="9"/>
  <c r="C9" i="9" s="1"/>
  <c r="C6" i="9"/>
  <c r="D6" i="9"/>
  <c r="D7" i="9"/>
  <c r="D14" i="9"/>
  <c r="D13" i="9"/>
  <c r="C18" i="9" l="1"/>
  <c r="F18" i="9"/>
  <c r="F20" i="9"/>
  <c r="E18" i="9"/>
  <c r="E20" i="9"/>
  <c r="G13" i="9"/>
  <c r="G18" i="9" s="1"/>
  <c r="G20" i="9" s="1"/>
  <c r="C20" i="9"/>
  <c r="D18" i="9"/>
  <c r="D20" i="9" s="1"/>
  <c r="C10" i="12"/>
  <c r="H15" i="6" l="1"/>
  <c r="C6" i="12"/>
  <c r="D22" i="9" l="1"/>
  <c r="E22" i="9"/>
  <c r="F22" i="9"/>
  <c r="G22" i="9"/>
  <c r="H11" i="6" l="1"/>
  <c r="C11" i="6"/>
  <c r="C2" i="11" l="1"/>
  <c r="C2" i="10"/>
  <c r="D2" i="8"/>
  <c r="D2" i="11" s="1"/>
  <c r="AY2" i="7"/>
  <c r="AA2" i="7"/>
  <c r="AY2" i="6"/>
  <c r="AA2" i="6"/>
  <c r="C2" i="6"/>
  <c r="AY2" i="4"/>
  <c r="AA2" i="4"/>
  <c r="C2" i="4"/>
  <c r="AY2" i="9"/>
  <c r="AA2" i="9"/>
  <c r="AA2" i="3"/>
  <c r="AY2" i="3"/>
  <c r="D2" i="10" l="1"/>
  <c r="E2" i="6"/>
  <c r="F2" i="6"/>
  <c r="E2" i="8"/>
  <c r="F2" i="8" s="1"/>
  <c r="G2" i="8" s="1"/>
  <c r="F2" i="4"/>
  <c r="E2" i="4"/>
  <c r="D2" i="6"/>
  <c r="D2" i="4"/>
  <c r="D30" i="3"/>
  <c r="E30" i="3"/>
  <c r="F30" i="3"/>
  <c r="G30" i="3"/>
  <c r="H30" i="3"/>
  <c r="I30" i="3"/>
  <c r="J30" i="3"/>
  <c r="K30" i="3"/>
  <c r="L30" i="3"/>
  <c r="M30" i="3"/>
  <c r="N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C29" i="3"/>
  <c r="I19" i="6"/>
  <c r="J19" i="6" s="1"/>
  <c r="K19" i="6" s="1"/>
  <c r="L19" i="6" s="1"/>
  <c r="M19" i="6" s="1"/>
  <c r="N19" i="6" s="1"/>
  <c r="H24" i="6"/>
  <c r="I24" i="6" s="1"/>
  <c r="J24" i="6" s="1"/>
  <c r="K24" i="6" s="1"/>
  <c r="L24" i="6" s="1"/>
  <c r="M24" i="6" s="1"/>
  <c r="N24" i="6" s="1"/>
  <c r="O24" i="6" s="1"/>
  <c r="P24" i="6" s="1"/>
  <c r="Q24" i="6" s="1"/>
  <c r="R24" i="6" s="1"/>
  <c r="S24" i="6" s="1"/>
  <c r="T24" i="6" s="1"/>
  <c r="U24" i="6" s="1"/>
  <c r="V24" i="6" s="1"/>
  <c r="W24" i="6" s="1"/>
  <c r="X24" i="6" s="1"/>
  <c r="Y24" i="6" s="1"/>
  <c r="Z24" i="6" s="1"/>
  <c r="AA24" i="6" s="1"/>
  <c r="AB24" i="6" s="1"/>
  <c r="AC24" i="6" s="1"/>
  <c r="AD24" i="6" s="1"/>
  <c r="AE24" i="6" s="1"/>
  <c r="AF24" i="6" s="1"/>
  <c r="AG24" i="6" s="1"/>
  <c r="AH24" i="6" s="1"/>
  <c r="AI24" i="6" s="1"/>
  <c r="AJ24" i="6" s="1"/>
  <c r="AK24" i="6" s="1"/>
  <c r="AL24" i="6" s="1"/>
  <c r="AM24" i="6" s="1"/>
  <c r="AN24" i="6" s="1"/>
  <c r="AO24" i="6" s="1"/>
  <c r="AP24" i="6" s="1"/>
  <c r="AQ24" i="6" s="1"/>
  <c r="AR24" i="6" s="1"/>
  <c r="AS24" i="6" s="1"/>
  <c r="AT24" i="6" s="1"/>
  <c r="AU24" i="6" s="1"/>
  <c r="AV24" i="6" s="1"/>
  <c r="AW24" i="6" s="1"/>
  <c r="AX24" i="6" s="1"/>
  <c r="AY24" i="6" s="1"/>
  <c r="AZ24" i="6" s="1"/>
  <c r="BA24" i="6" s="1"/>
  <c r="BB24" i="6" s="1"/>
  <c r="BC24" i="6" s="1"/>
  <c r="BD24" i="6" s="1"/>
  <c r="BE24" i="6" s="1"/>
  <c r="BF24" i="6" s="1"/>
  <c r="BG24" i="6" s="1"/>
  <c r="BH24" i="6" s="1"/>
  <c r="BI24" i="6" s="1"/>
  <c r="BJ24" i="6" s="1"/>
  <c r="H29" i="6"/>
  <c r="I29" i="6" s="1"/>
  <c r="J29" i="6" s="1"/>
  <c r="K29" i="6" s="1"/>
  <c r="L29" i="6" s="1"/>
  <c r="M29" i="6" s="1"/>
  <c r="N29" i="6" s="1"/>
  <c r="O29" i="6" s="1"/>
  <c r="P29" i="6" s="1"/>
  <c r="Q29" i="6" s="1"/>
  <c r="R29" i="6" s="1"/>
  <c r="S29" i="6" s="1"/>
  <c r="T29" i="6" s="1"/>
  <c r="U29" i="6" s="1"/>
  <c r="V29" i="6" s="1"/>
  <c r="W29" i="6" s="1"/>
  <c r="X29" i="6" s="1"/>
  <c r="Y29" i="6" s="1"/>
  <c r="Z29" i="6" s="1"/>
  <c r="AA29" i="6" s="1"/>
  <c r="AB29" i="6" s="1"/>
  <c r="AC29" i="6" s="1"/>
  <c r="AD29" i="6" s="1"/>
  <c r="AE29" i="6" s="1"/>
  <c r="AF29" i="6" s="1"/>
  <c r="AG29" i="6" s="1"/>
  <c r="AH29" i="6" s="1"/>
  <c r="AI29" i="6" s="1"/>
  <c r="AJ29" i="6" s="1"/>
  <c r="AK29" i="6" s="1"/>
  <c r="AL29" i="6" s="1"/>
  <c r="AM29" i="6" s="1"/>
  <c r="AN29" i="6" s="1"/>
  <c r="AO29" i="6" s="1"/>
  <c r="AP29" i="6" s="1"/>
  <c r="AQ29" i="6" s="1"/>
  <c r="AR29" i="6" s="1"/>
  <c r="AS29" i="6" s="1"/>
  <c r="AT29" i="6" s="1"/>
  <c r="AU29" i="6" s="1"/>
  <c r="AV29" i="6" s="1"/>
  <c r="AW29" i="6" s="1"/>
  <c r="AX29" i="6" s="1"/>
  <c r="AY29" i="6" s="1"/>
  <c r="AZ29" i="6" s="1"/>
  <c r="BA29" i="6" s="1"/>
  <c r="BB29" i="6" s="1"/>
  <c r="BC29" i="6" s="1"/>
  <c r="BD29" i="6" s="1"/>
  <c r="BE29" i="6" s="1"/>
  <c r="BF29" i="6" s="1"/>
  <c r="BG29" i="6" s="1"/>
  <c r="BH29" i="6" s="1"/>
  <c r="BI29" i="6" s="1"/>
  <c r="BJ29" i="6" s="1"/>
  <c r="C42" i="1"/>
  <c r="C39" i="2"/>
  <c r="H3" i="4"/>
  <c r="H5" i="4" s="1"/>
  <c r="H5" i="6" s="1"/>
  <c r="H7" i="7"/>
  <c r="I7" i="7" s="1"/>
  <c r="J7" i="7" s="1"/>
  <c r="K7" i="7" s="1"/>
  <c r="K20" i="7" s="1"/>
  <c r="H29" i="2"/>
  <c r="H22" i="9"/>
  <c r="I20" i="7"/>
  <c r="I29" i="2"/>
  <c r="I22" i="9"/>
  <c r="J3" i="4"/>
  <c r="J5" i="4" s="1"/>
  <c r="J5" i="6" s="1"/>
  <c r="J29" i="2"/>
  <c r="J22" i="9"/>
  <c r="K3" i="4"/>
  <c r="K5" i="4" s="1"/>
  <c r="K5" i="6" s="1"/>
  <c r="K29" i="2"/>
  <c r="K22" i="9"/>
  <c r="L3" i="4"/>
  <c r="L5" i="4" s="1"/>
  <c r="L5" i="6" s="1"/>
  <c r="L7" i="7"/>
  <c r="L29" i="2"/>
  <c r="L22" i="9"/>
  <c r="M3" i="4"/>
  <c r="M5" i="4" s="1"/>
  <c r="M5" i="6" s="1"/>
  <c r="M29" i="2"/>
  <c r="M22" i="9"/>
  <c r="N3" i="4"/>
  <c r="N5" i="4" s="1"/>
  <c r="N5" i="6" s="1"/>
  <c r="N29" i="2"/>
  <c r="N22" i="9"/>
  <c r="O3" i="4"/>
  <c r="O5" i="4" s="1"/>
  <c r="O5" i="6" s="1"/>
  <c r="O19" i="7"/>
  <c r="O29" i="2"/>
  <c r="O39" i="2"/>
  <c r="O22" i="9" s="1"/>
  <c r="P3" i="4"/>
  <c r="P5" i="4" s="1"/>
  <c r="P5" i="6" s="1"/>
  <c r="P6" i="7"/>
  <c r="P19" i="7" s="1"/>
  <c r="P29" i="2"/>
  <c r="P22" i="9"/>
  <c r="Q3" i="4"/>
  <c r="Q5" i="4" s="1"/>
  <c r="Q5" i="6" s="1"/>
  <c r="Q6" i="7"/>
  <c r="Q19" i="7" s="1"/>
  <c r="Q29" i="2"/>
  <c r="Q22" i="9"/>
  <c r="R3" i="4"/>
  <c r="R5" i="4" s="1"/>
  <c r="R5" i="6" s="1"/>
  <c r="R29" i="2"/>
  <c r="R22" i="9"/>
  <c r="S3" i="4"/>
  <c r="S5" i="4" s="1"/>
  <c r="S5" i="6" s="1"/>
  <c r="S29" i="2"/>
  <c r="S22" i="9"/>
  <c r="T3" i="4"/>
  <c r="T5" i="4" s="1"/>
  <c r="T5" i="6" s="1"/>
  <c r="T29" i="2"/>
  <c r="T22" i="9"/>
  <c r="U3" i="4"/>
  <c r="U5" i="4" s="1"/>
  <c r="U5" i="6" s="1"/>
  <c r="U29" i="2"/>
  <c r="U22" i="9"/>
  <c r="V3" i="4"/>
  <c r="V5" i="4" s="1"/>
  <c r="V5" i="6" s="1"/>
  <c r="V29" i="2"/>
  <c r="V22" i="9"/>
  <c r="W3" i="4"/>
  <c r="W5" i="4" s="1"/>
  <c r="W5" i="6" s="1"/>
  <c r="W29" i="2"/>
  <c r="W22" i="9"/>
  <c r="X3" i="4"/>
  <c r="X5" i="4" s="1"/>
  <c r="X5" i="6" s="1"/>
  <c r="X19" i="6"/>
  <c r="Y19" i="6" s="1"/>
  <c r="Z19" i="6" s="1"/>
  <c r="AA19" i="6" s="1"/>
  <c r="AB19" i="6" s="1"/>
  <c r="AC19" i="6" s="1"/>
  <c r="AD19" i="6" s="1"/>
  <c r="AE19" i="6" s="1"/>
  <c r="AF19" i="6" s="1"/>
  <c r="AG19" i="6" s="1"/>
  <c r="AH19" i="6" s="1"/>
  <c r="AI19" i="6" s="1"/>
  <c r="AJ19" i="6" s="1"/>
  <c r="AK19" i="6" s="1"/>
  <c r="AL19" i="6" s="1"/>
  <c r="AM19" i="6" s="1"/>
  <c r="AN19" i="6" s="1"/>
  <c r="AO19" i="6" s="1"/>
  <c r="AP19" i="6" s="1"/>
  <c r="AQ19" i="6" s="1"/>
  <c r="AR19" i="6" s="1"/>
  <c r="AS19" i="6" s="1"/>
  <c r="AT19" i="6" s="1"/>
  <c r="AU19" i="6" s="1"/>
  <c r="AV19" i="6" s="1"/>
  <c r="AW19" i="6" s="1"/>
  <c r="AX19" i="6" s="1"/>
  <c r="AY19" i="6" s="1"/>
  <c r="AZ19" i="6" s="1"/>
  <c r="BA19" i="6" s="1"/>
  <c r="BB19" i="6" s="1"/>
  <c r="BC19" i="6" s="1"/>
  <c r="BD19" i="6" s="1"/>
  <c r="BE19" i="6" s="1"/>
  <c r="BF19" i="6" s="1"/>
  <c r="BG19" i="6" s="1"/>
  <c r="BH19" i="6" s="1"/>
  <c r="BI19" i="6" s="1"/>
  <c r="BJ19" i="6" s="1"/>
  <c r="X29" i="2"/>
  <c r="X22" i="9"/>
  <c r="Y3" i="4"/>
  <c r="Y5" i="4" s="1"/>
  <c r="Y5" i="6" s="1"/>
  <c r="Y29" i="2"/>
  <c r="Y22" i="9"/>
  <c r="Z3" i="4"/>
  <c r="Z5" i="4" s="1"/>
  <c r="Z5" i="6" s="1"/>
  <c r="Z29" i="2"/>
  <c r="Z22" i="9"/>
  <c r="AA3" i="4"/>
  <c r="AA29" i="2"/>
  <c r="AA22" i="9"/>
  <c r="AB3" i="4"/>
  <c r="AB5" i="4" s="1"/>
  <c r="AB5" i="6" s="1"/>
  <c r="AB29" i="2"/>
  <c r="AB22" i="9"/>
  <c r="AC3" i="4"/>
  <c r="AC5" i="4" s="1"/>
  <c r="AC5" i="6" s="1"/>
  <c r="AC29" i="2"/>
  <c r="AC22" i="9"/>
  <c r="AD3" i="4"/>
  <c r="AD5" i="4" s="1"/>
  <c r="AD5" i="6" s="1"/>
  <c r="AD29" i="2"/>
  <c r="AD22" i="9"/>
  <c r="AE3" i="4"/>
  <c r="AE5" i="4" s="1"/>
  <c r="AE5" i="6" s="1"/>
  <c r="AE29" i="2"/>
  <c r="AE22" i="9"/>
  <c r="AF3" i="4"/>
  <c r="AF5" i="4" s="1"/>
  <c r="AF5" i="6" s="1"/>
  <c r="AF29" i="2"/>
  <c r="AF22" i="9"/>
  <c r="AG3" i="4"/>
  <c r="AG5" i="4" s="1"/>
  <c r="AG5" i="6" s="1"/>
  <c r="AG29" i="2"/>
  <c r="AG22" i="9"/>
  <c r="AH3" i="4"/>
  <c r="AH5" i="4" s="1"/>
  <c r="AH5" i="6" s="1"/>
  <c r="AH29" i="2"/>
  <c r="AH22" i="9"/>
  <c r="AI3" i="4"/>
  <c r="AI5" i="4" s="1"/>
  <c r="AI5" i="6" s="1"/>
  <c r="AI29" i="2"/>
  <c r="AI22" i="9"/>
  <c r="AJ3" i="4"/>
  <c r="AJ5" i="4" s="1"/>
  <c r="AJ5" i="6" s="1"/>
  <c r="AJ29" i="2"/>
  <c r="AJ22" i="9"/>
  <c r="AK3" i="4"/>
  <c r="AK29" i="2"/>
  <c r="AK22" i="9"/>
  <c r="AL3" i="4"/>
  <c r="AL5" i="4" s="1"/>
  <c r="AL5" i="6" s="1"/>
  <c r="AL29" i="2"/>
  <c r="AL22" i="9"/>
  <c r="AM3" i="4"/>
  <c r="AM5" i="4" s="1"/>
  <c r="AM5" i="6" s="1"/>
  <c r="AM29" i="2"/>
  <c r="AM22" i="9"/>
  <c r="AN3" i="4"/>
  <c r="AN5" i="4" s="1"/>
  <c r="AN5" i="6" s="1"/>
  <c r="AN29" i="2"/>
  <c r="AN22" i="9"/>
  <c r="AO3" i="4"/>
  <c r="AO5" i="4" s="1"/>
  <c r="AO5" i="6" s="1"/>
  <c r="AO29" i="2"/>
  <c r="AO22" i="9"/>
  <c r="AP3" i="4"/>
  <c r="AP5" i="4" s="1"/>
  <c r="AP5" i="6" s="1"/>
  <c r="AP29" i="2"/>
  <c r="AP22" i="9"/>
  <c r="AQ3" i="4"/>
  <c r="AQ5" i="4" s="1"/>
  <c r="AQ5" i="6" s="1"/>
  <c r="AQ29" i="2"/>
  <c r="AQ22" i="9"/>
  <c r="AR3" i="4"/>
  <c r="AR5" i="4" s="1"/>
  <c r="AR5" i="6" s="1"/>
  <c r="AR29" i="2"/>
  <c r="AR22" i="9"/>
  <c r="AS3" i="4"/>
  <c r="AS29" i="2"/>
  <c r="AS22" i="9"/>
  <c r="AT3" i="4"/>
  <c r="AT5" i="4" s="1"/>
  <c r="AT5" i="6" s="1"/>
  <c r="AT29" i="2"/>
  <c r="AT22" i="9"/>
  <c r="AU3" i="4"/>
  <c r="AU5" i="4" s="1"/>
  <c r="AU5" i="6" s="1"/>
  <c r="AU29" i="2"/>
  <c r="AU22" i="9"/>
  <c r="AV3" i="4"/>
  <c r="AV5" i="4" s="1"/>
  <c r="AV5" i="6" s="1"/>
  <c r="AV29" i="2"/>
  <c r="AV22" i="9"/>
  <c r="AW3" i="4"/>
  <c r="AW5" i="4" s="1"/>
  <c r="AW5" i="6" s="1"/>
  <c r="AW29" i="2"/>
  <c r="AW22" i="9"/>
  <c r="AX3" i="4"/>
  <c r="AX29" i="2"/>
  <c r="AX22" i="9"/>
  <c r="AY3" i="4"/>
  <c r="AY5" i="4" s="1"/>
  <c r="AY5" i="6" s="1"/>
  <c r="AY29" i="2"/>
  <c r="AY22" i="9"/>
  <c r="AZ3" i="4"/>
  <c r="AZ5" i="4" s="1"/>
  <c r="AZ5" i="6" s="1"/>
  <c r="AZ29" i="2"/>
  <c r="AZ22" i="9"/>
  <c r="BA3" i="4"/>
  <c r="BA5" i="4" s="1"/>
  <c r="BA5" i="6" s="1"/>
  <c r="BA29" i="2"/>
  <c r="BA22" i="9"/>
  <c r="BB3" i="4"/>
  <c r="BB5" i="4" s="1"/>
  <c r="BB5" i="6" s="1"/>
  <c r="BB29" i="2"/>
  <c r="BB22" i="9"/>
  <c r="BC3" i="4"/>
  <c r="BC5" i="4" s="1"/>
  <c r="BC5" i="6" s="1"/>
  <c r="BC29" i="2"/>
  <c r="BC22" i="9"/>
  <c r="BD3" i="4"/>
  <c r="BD5" i="4" s="1"/>
  <c r="BD5" i="6" s="1"/>
  <c r="BD29" i="2"/>
  <c r="BD22" i="9"/>
  <c r="BE3" i="4"/>
  <c r="BE5" i="4" s="1"/>
  <c r="BE5" i="6" s="1"/>
  <c r="BE29" i="2"/>
  <c r="BE22" i="9"/>
  <c r="BF3" i="4"/>
  <c r="BF5" i="4" s="1"/>
  <c r="BF5" i="6" s="1"/>
  <c r="BF29" i="2"/>
  <c r="BF22" i="9"/>
  <c r="BG3" i="4"/>
  <c r="BG5" i="4" s="1"/>
  <c r="BG5" i="6" s="1"/>
  <c r="BG29" i="2"/>
  <c r="BG22" i="9"/>
  <c r="BH3" i="4"/>
  <c r="BH5" i="4" s="1"/>
  <c r="BH5" i="6" s="1"/>
  <c r="BH29" i="2"/>
  <c r="BH22" i="9"/>
  <c r="BI3" i="4"/>
  <c r="BI5" i="4" s="1"/>
  <c r="BI5" i="6" s="1"/>
  <c r="BI29" i="2"/>
  <c r="BI22" i="9"/>
  <c r="BJ3" i="4"/>
  <c r="BJ5" i="4" s="1"/>
  <c r="BJ5" i="6" s="1"/>
  <c r="BJ29" i="2"/>
  <c r="BJ22" i="9"/>
  <c r="C17" i="12"/>
  <c r="C16" i="12"/>
  <c r="C12" i="1"/>
  <c r="C3" i="11"/>
  <c r="B5" i="11"/>
  <c r="B6" i="11"/>
  <c r="B7" i="11"/>
  <c r="B9" i="11"/>
  <c r="B11" i="11"/>
  <c r="B12" i="11"/>
  <c r="B13" i="11"/>
  <c r="B14" i="11"/>
  <c r="B15" i="11"/>
  <c r="B16" i="11"/>
  <c r="B17" i="11"/>
  <c r="B18" i="11"/>
  <c r="B20" i="11"/>
  <c r="B22" i="11"/>
  <c r="B23" i="11"/>
  <c r="B24" i="11"/>
  <c r="B25" i="11"/>
  <c r="B27" i="11"/>
  <c r="B3" i="11"/>
  <c r="A4" i="10"/>
  <c r="A5" i="10"/>
  <c r="A6" i="10"/>
  <c r="A7" i="10"/>
  <c r="A8" i="10"/>
  <c r="A9" i="10"/>
  <c r="A11" i="10"/>
  <c r="A12" i="10"/>
  <c r="A13" i="10"/>
  <c r="A14" i="10"/>
  <c r="A15" i="10"/>
  <c r="A17" i="10"/>
  <c r="A18" i="10"/>
  <c r="A19" i="10"/>
  <c r="A20" i="10"/>
  <c r="A22" i="10"/>
  <c r="A3" i="10"/>
  <c r="B4" i="8"/>
  <c r="B5" i="8"/>
  <c r="B6" i="8"/>
  <c r="B7" i="8"/>
  <c r="A8" i="8"/>
  <c r="A10" i="8"/>
  <c r="B11" i="8"/>
  <c r="B12" i="8"/>
  <c r="B13" i="8"/>
  <c r="A14" i="8"/>
  <c r="A16" i="8"/>
  <c r="A18" i="8"/>
  <c r="B19" i="8"/>
  <c r="B20" i="8"/>
  <c r="A21" i="8"/>
  <c r="A23" i="8"/>
  <c r="A25" i="8"/>
  <c r="B26" i="8"/>
  <c r="B27" i="8"/>
  <c r="B28" i="8"/>
  <c r="B29" i="8"/>
  <c r="B30" i="8"/>
  <c r="B31" i="8"/>
  <c r="B32" i="8"/>
  <c r="A33" i="8"/>
  <c r="A36" i="8"/>
  <c r="A3" i="8"/>
  <c r="AX19" i="2" l="1"/>
  <c r="AX5" i="4"/>
  <c r="AX5" i="6" s="1"/>
  <c r="AS19" i="2"/>
  <c r="AS5" i="4"/>
  <c r="AS5" i="6" s="1"/>
  <c r="AA19" i="2"/>
  <c r="AA5" i="4"/>
  <c r="AA5" i="6" s="1"/>
  <c r="AK19" i="2"/>
  <c r="AK5" i="4"/>
  <c r="AK5" i="6" s="1"/>
  <c r="F22" i="11"/>
  <c r="E22" i="11"/>
  <c r="R6" i="7"/>
  <c r="F29" i="8"/>
  <c r="C29" i="8"/>
  <c r="D29" i="8"/>
  <c r="AH19" i="2"/>
  <c r="BJ19" i="2"/>
  <c r="C22" i="9"/>
  <c r="C18" i="3"/>
  <c r="D18" i="3" s="1"/>
  <c r="E18" i="3" s="1"/>
  <c r="F18" i="3" s="1"/>
  <c r="G18" i="3" s="1"/>
  <c r="H18" i="3" s="1"/>
  <c r="I18" i="3" s="1"/>
  <c r="J18" i="3" s="1"/>
  <c r="K18" i="3" s="1"/>
  <c r="L18" i="3" s="1"/>
  <c r="M18" i="3" s="1"/>
  <c r="X19" i="2"/>
  <c r="L19" i="2"/>
  <c r="BB19" i="2"/>
  <c r="AV19" i="2"/>
  <c r="AQ19" i="2"/>
  <c r="Z19" i="2"/>
  <c r="E2" i="11"/>
  <c r="F2" i="10"/>
  <c r="E2" i="10"/>
  <c r="F2" i="11"/>
  <c r="H7" i="4"/>
  <c r="H9" i="4" s="1"/>
  <c r="H7" i="6" s="1"/>
  <c r="L7" i="4"/>
  <c r="P7" i="4"/>
  <c r="T7" i="4"/>
  <c r="X7" i="4"/>
  <c r="X9" i="4" s="1"/>
  <c r="X7" i="6" s="1"/>
  <c r="AB7" i="4"/>
  <c r="AB9" i="4" s="1"/>
  <c r="AB7" i="6" s="1"/>
  <c r="AF7" i="4"/>
  <c r="AF9" i="4" s="1"/>
  <c r="AF7" i="6" s="1"/>
  <c r="AJ7" i="4"/>
  <c r="AJ9" i="4" s="1"/>
  <c r="AJ7" i="6" s="1"/>
  <c r="AN7" i="4"/>
  <c r="AN9" i="4" s="1"/>
  <c r="AN7" i="6" s="1"/>
  <c r="AR7" i="4"/>
  <c r="AV7" i="4"/>
  <c r="AV9" i="4" s="1"/>
  <c r="AV7" i="6" s="1"/>
  <c r="AZ7" i="4"/>
  <c r="BD7" i="4"/>
  <c r="BH7" i="4"/>
  <c r="BH9" i="4" s="1"/>
  <c r="BH7" i="6" s="1"/>
  <c r="M7" i="4"/>
  <c r="M9" i="4" s="1"/>
  <c r="M7" i="6" s="1"/>
  <c r="Q7" i="4"/>
  <c r="Q9" i="4" s="1"/>
  <c r="Q7" i="6" s="1"/>
  <c r="Y7" i="4"/>
  <c r="Y9" i="4" s="1"/>
  <c r="Y7" i="6" s="1"/>
  <c r="AC7" i="4"/>
  <c r="AC9" i="4" s="1"/>
  <c r="AC7" i="6" s="1"/>
  <c r="AG7" i="4"/>
  <c r="AG9" i="4" s="1"/>
  <c r="AG7" i="6" s="1"/>
  <c r="AK7" i="4"/>
  <c r="AK9" i="4" s="1"/>
  <c r="AK7" i="6" s="1"/>
  <c r="AO7" i="4"/>
  <c r="AO9" i="4" s="1"/>
  <c r="AO7" i="6" s="1"/>
  <c r="AS7" i="4"/>
  <c r="AS9" i="4" s="1"/>
  <c r="AS7" i="6" s="1"/>
  <c r="AW7" i="4"/>
  <c r="AW9" i="4" s="1"/>
  <c r="AW7" i="6" s="1"/>
  <c r="BA7" i="4"/>
  <c r="BA9" i="4" s="1"/>
  <c r="BA7" i="6" s="1"/>
  <c r="BE7" i="4"/>
  <c r="BE9" i="4" s="1"/>
  <c r="BE7" i="6" s="1"/>
  <c r="BI7" i="4"/>
  <c r="BI9" i="4" s="1"/>
  <c r="BI7" i="6" s="1"/>
  <c r="J7" i="4"/>
  <c r="J9" i="4" s="1"/>
  <c r="J7" i="6" s="1"/>
  <c r="N7" i="4"/>
  <c r="N9" i="4" s="1"/>
  <c r="N7" i="6" s="1"/>
  <c r="R7" i="4"/>
  <c r="V7" i="4"/>
  <c r="V9" i="4" s="1"/>
  <c r="V7" i="6" s="1"/>
  <c r="Z7" i="4"/>
  <c r="Z9" i="4" s="1"/>
  <c r="Z7" i="6" s="1"/>
  <c r="AD7" i="4"/>
  <c r="AD9" i="4" s="1"/>
  <c r="AD7" i="6" s="1"/>
  <c r="AH7" i="4"/>
  <c r="AL7" i="4"/>
  <c r="AP7" i="4"/>
  <c r="AT7" i="4"/>
  <c r="AX7" i="4"/>
  <c r="AX9" i="4" s="1"/>
  <c r="AX7" i="6" s="1"/>
  <c r="BB7" i="4"/>
  <c r="BB9" i="4" s="1"/>
  <c r="BB7" i="6" s="1"/>
  <c r="BF7" i="4"/>
  <c r="BF9" i="4" s="1"/>
  <c r="BF7" i="6" s="1"/>
  <c r="BJ7" i="4"/>
  <c r="BJ9" i="4" s="1"/>
  <c r="BJ7" i="6" s="1"/>
  <c r="K7" i="4"/>
  <c r="O7" i="4"/>
  <c r="O9" i="4" s="1"/>
  <c r="O7" i="6" s="1"/>
  <c r="S7" i="4"/>
  <c r="W7" i="4"/>
  <c r="AA7" i="4"/>
  <c r="AA9" i="4" s="1"/>
  <c r="AA7" i="6" s="1"/>
  <c r="AE7" i="4"/>
  <c r="AI7" i="4"/>
  <c r="AI9" i="4" s="1"/>
  <c r="AI7" i="6" s="1"/>
  <c r="AM7" i="4"/>
  <c r="AM9" i="4" s="1"/>
  <c r="AM7" i="6" s="1"/>
  <c r="AQ7" i="4"/>
  <c r="AQ9" i="4" s="1"/>
  <c r="AQ7" i="6" s="1"/>
  <c r="AU7" i="4"/>
  <c r="AU9" i="4" s="1"/>
  <c r="AU7" i="6" s="1"/>
  <c r="AY7" i="4"/>
  <c r="AY9" i="4" s="1"/>
  <c r="AY7" i="6" s="1"/>
  <c r="BC7" i="4"/>
  <c r="BC9" i="4" s="1"/>
  <c r="BC7" i="6" s="1"/>
  <c r="BG7" i="4"/>
  <c r="BG9" i="4" s="1"/>
  <c r="BG7" i="6" s="1"/>
  <c r="I7" i="4"/>
  <c r="I9" i="4" s="1"/>
  <c r="I7" i="6" s="1"/>
  <c r="U7" i="4"/>
  <c r="U9" i="4" s="1"/>
  <c r="U7" i="6" s="1"/>
  <c r="H4" i="7"/>
  <c r="C30" i="3"/>
  <c r="C31" i="3" s="1"/>
  <c r="C32" i="3" s="1"/>
  <c r="C33" i="3" s="1"/>
  <c r="C34" i="3" s="1"/>
  <c r="G22" i="11"/>
  <c r="E29" i="8"/>
  <c r="V19" i="2"/>
  <c r="D22" i="11"/>
  <c r="G2" i="6"/>
  <c r="G2" i="4"/>
  <c r="H2" i="2"/>
  <c r="H2" i="9" s="1"/>
  <c r="AU19" i="2"/>
  <c r="BI19" i="2"/>
  <c r="G29" i="8"/>
  <c r="AE19" i="2"/>
  <c r="G2" i="11"/>
  <c r="G2" i="10"/>
  <c r="O30" i="3"/>
  <c r="BA19" i="2"/>
  <c r="BE19" i="2"/>
  <c r="AM19" i="2"/>
  <c r="AN19" i="2"/>
  <c r="AD19" i="2"/>
  <c r="Y19" i="2"/>
  <c r="T19" i="2"/>
  <c r="I19" i="2"/>
  <c r="BC19" i="2"/>
  <c r="AZ19" i="2"/>
  <c r="AF19" i="2"/>
  <c r="U19" i="2"/>
  <c r="S19" i="2"/>
  <c r="P19" i="2"/>
  <c r="J19" i="2"/>
  <c r="O19" i="6"/>
  <c r="P19" i="6" s="1"/>
  <c r="Q19" i="6" s="1"/>
  <c r="R19" i="6" s="1"/>
  <c r="S19" i="6" s="1"/>
  <c r="T19" i="6" s="1"/>
  <c r="U19" i="6" s="1"/>
  <c r="V19" i="6" s="1"/>
  <c r="C9" i="12"/>
  <c r="C11" i="12" s="1"/>
  <c r="BD19" i="2"/>
  <c r="AY19" i="2"/>
  <c r="AP19" i="2"/>
  <c r="AJ19" i="2"/>
  <c r="AB19" i="2"/>
  <c r="K19" i="2"/>
  <c r="AW19" i="2"/>
  <c r="BG19" i="2"/>
  <c r="BF19" i="2"/>
  <c r="AO19" i="2"/>
  <c r="AI19" i="2"/>
  <c r="AG19" i="2"/>
  <c r="W19" i="2"/>
  <c r="R19" i="2"/>
  <c r="O19" i="2"/>
  <c r="M19" i="2"/>
  <c r="I11" i="6"/>
  <c r="J11" i="6" s="1"/>
  <c r="K11" i="6" s="1"/>
  <c r="L11" i="6" s="1"/>
  <c r="M11" i="6" s="1"/>
  <c r="N11" i="6" s="1"/>
  <c r="O11" i="6" s="1"/>
  <c r="P11" i="6" s="1"/>
  <c r="Q11" i="6" s="1"/>
  <c r="R11" i="6" s="1"/>
  <c r="S11" i="6" s="1"/>
  <c r="T11" i="6" s="1"/>
  <c r="U11" i="6" s="1"/>
  <c r="V11" i="6" s="1"/>
  <c r="W11" i="6" s="1"/>
  <c r="X11" i="6" s="1"/>
  <c r="Y11" i="6" s="1"/>
  <c r="Z11" i="6" s="1"/>
  <c r="AA11" i="6" s="1"/>
  <c r="AB11" i="6" s="1"/>
  <c r="AC11" i="6" s="1"/>
  <c r="AD11" i="6" s="1"/>
  <c r="AE11" i="6" s="1"/>
  <c r="AF11" i="6" s="1"/>
  <c r="AG11" i="6" s="1"/>
  <c r="AH11" i="6" s="1"/>
  <c r="AI11" i="6" s="1"/>
  <c r="AJ11" i="6" s="1"/>
  <c r="AK11" i="6" s="1"/>
  <c r="AL11" i="6" s="1"/>
  <c r="AM11" i="6" s="1"/>
  <c r="AN11" i="6" s="1"/>
  <c r="AO11" i="6" s="1"/>
  <c r="AP11" i="6" s="1"/>
  <c r="AQ11" i="6" s="1"/>
  <c r="AR11" i="6" s="1"/>
  <c r="AS11" i="6" s="1"/>
  <c r="AT11" i="6" s="1"/>
  <c r="AU11" i="6" s="1"/>
  <c r="AV11" i="6" s="1"/>
  <c r="AW11" i="6" s="1"/>
  <c r="AX11" i="6" s="1"/>
  <c r="AY11" i="6" s="1"/>
  <c r="AZ11" i="6" s="1"/>
  <c r="BA11" i="6" s="1"/>
  <c r="BB11" i="6" s="1"/>
  <c r="BC11" i="6" s="1"/>
  <c r="BD11" i="6" s="1"/>
  <c r="BE11" i="6" s="1"/>
  <c r="BF11" i="6" s="1"/>
  <c r="BG11" i="6" s="1"/>
  <c r="BH11" i="6" s="1"/>
  <c r="BI11" i="6" s="1"/>
  <c r="BJ11" i="6" s="1"/>
  <c r="BH19" i="2"/>
  <c r="AL19" i="2"/>
  <c r="AT19" i="2"/>
  <c r="AR19" i="2"/>
  <c r="AC19" i="2"/>
  <c r="Q19" i="2"/>
  <c r="R19" i="7"/>
  <c r="S6" i="7"/>
  <c r="N19" i="2"/>
  <c r="L20" i="7"/>
  <c r="M7" i="7"/>
  <c r="H15" i="4"/>
  <c r="J20" i="7"/>
  <c r="H6" i="7"/>
  <c r="H19" i="2"/>
  <c r="H20" i="7"/>
  <c r="H12" i="7"/>
  <c r="S20" i="2" l="1"/>
  <c r="S9" i="4"/>
  <c r="S7" i="6" s="1"/>
  <c r="W20" i="2"/>
  <c r="W9" i="4"/>
  <c r="W7" i="6" s="1"/>
  <c r="K20" i="2"/>
  <c r="K21" i="2" s="1"/>
  <c r="K9" i="4"/>
  <c r="K7" i="6" s="1"/>
  <c r="P20" i="2"/>
  <c r="P21" i="2" s="1"/>
  <c r="P9" i="4"/>
  <c r="P7" i="6" s="1"/>
  <c r="R20" i="2"/>
  <c r="R21" i="2" s="1"/>
  <c r="R9" i="4"/>
  <c r="R7" i="6" s="1"/>
  <c r="Z20" i="2"/>
  <c r="L20" i="2"/>
  <c r="L21" i="2" s="1"/>
  <c r="L9" i="4"/>
  <c r="L7" i="6" s="1"/>
  <c r="AT20" i="2"/>
  <c r="AT9" i="4"/>
  <c r="AT7" i="6" s="1"/>
  <c r="AP20" i="2"/>
  <c r="AP9" i="4"/>
  <c r="AP7" i="6" s="1"/>
  <c r="T20" i="2"/>
  <c r="T21" i="2" s="1"/>
  <c r="T9" i="4"/>
  <c r="T7" i="6" s="1"/>
  <c r="BD20" i="2"/>
  <c r="BD21" i="2" s="1"/>
  <c r="BD9" i="4"/>
  <c r="BD7" i="6" s="1"/>
  <c r="AC20" i="2"/>
  <c r="AC21" i="2" s="1"/>
  <c r="AE20" i="2"/>
  <c r="AE21" i="2" s="1"/>
  <c r="AE9" i="4"/>
  <c r="AE7" i="6" s="1"/>
  <c r="AL20" i="2"/>
  <c r="AL9" i="4"/>
  <c r="AL7" i="6" s="1"/>
  <c r="AR20" i="2"/>
  <c r="AR9" i="4"/>
  <c r="AR7" i="6" s="1"/>
  <c r="AZ20" i="2"/>
  <c r="AZ21" i="2" s="1"/>
  <c r="AZ9" i="4"/>
  <c r="AZ7" i="6" s="1"/>
  <c r="AH20" i="2"/>
  <c r="AH21" i="2" s="1"/>
  <c r="AH9" i="4"/>
  <c r="AH7" i="6" s="1"/>
  <c r="AP21" i="2"/>
  <c r="Q20" i="2"/>
  <c r="Q21" i="2" s="1"/>
  <c r="AQ20" i="2"/>
  <c r="AQ21" i="2" s="1"/>
  <c r="Z21" i="2"/>
  <c r="BG20" i="2"/>
  <c r="BG21" i="2" s="1"/>
  <c r="X20" i="2"/>
  <c r="X21" i="2" s="1"/>
  <c r="V20" i="2"/>
  <c r="V21" i="2" s="1"/>
  <c r="AN20" i="2"/>
  <c r="AN21" i="2" s="1"/>
  <c r="BE20" i="2"/>
  <c r="BE21" i="2" s="1"/>
  <c r="BH20" i="2"/>
  <c r="BH21" i="2" s="1"/>
  <c r="AU20" i="2"/>
  <c r="AU21" i="2" s="1"/>
  <c r="I20" i="2"/>
  <c r="I21" i="2" s="1"/>
  <c r="AL21" i="2"/>
  <c r="BB20" i="2"/>
  <c r="BB21" i="2" s="1"/>
  <c r="AS20" i="2"/>
  <c r="AS21" i="2" s="1"/>
  <c r="C22" i="11"/>
  <c r="C27" i="9"/>
  <c r="AV20" i="2"/>
  <c r="AV21" i="2" s="1"/>
  <c r="AW20" i="2"/>
  <c r="AW21" i="2" s="1"/>
  <c r="S21" i="2"/>
  <c r="BF20" i="2"/>
  <c r="BF21" i="2" s="1"/>
  <c r="AF20" i="2"/>
  <c r="AF21" i="2" s="1"/>
  <c r="AJ20" i="2"/>
  <c r="AJ21" i="2" s="1"/>
  <c r="AD20" i="2"/>
  <c r="AD21" i="2" s="1"/>
  <c r="BJ20" i="2"/>
  <c r="BJ21" i="2" s="1"/>
  <c r="I2" i="2"/>
  <c r="H2" i="7"/>
  <c r="H2" i="6"/>
  <c r="H2" i="4"/>
  <c r="H2" i="3"/>
  <c r="AY20" i="2"/>
  <c r="AY21" i="2" s="1"/>
  <c r="J20" i="2"/>
  <c r="J21" i="2" s="1"/>
  <c r="AG20" i="2"/>
  <c r="AG21" i="2" s="1"/>
  <c r="M20" i="2"/>
  <c r="M21" i="2" s="1"/>
  <c r="U20" i="2"/>
  <c r="U21" i="2" s="1"/>
  <c r="C25" i="6"/>
  <c r="N20" i="2"/>
  <c r="N21" i="2" s="1"/>
  <c r="BC20" i="2"/>
  <c r="BC21" i="2" s="1"/>
  <c r="O20" i="2"/>
  <c r="O21" i="2" s="1"/>
  <c r="BI20" i="2"/>
  <c r="BI21" i="2" s="1"/>
  <c r="AB20" i="2"/>
  <c r="AB21" i="2" s="1"/>
  <c r="AK20" i="2"/>
  <c r="AK21" i="2" s="1"/>
  <c r="W21" i="2"/>
  <c r="AM20" i="2"/>
  <c r="AM21" i="2" s="1"/>
  <c r="BA20" i="2"/>
  <c r="BA21" i="2" s="1"/>
  <c r="AI20" i="2"/>
  <c r="AI21" i="2" s="1"/>
  <c r="H17" i="7"/>
  <c r="I4" i="7"/>
  <c r="AA20" i="2"/>
  <c r="AA21" i="2" s="1"/>
  <c r="AX20" i="2"/>
  <c r="AX21" i="2" s="1"/>
  <c r="AO20" i="2"/>
  <c r="AO21" i="2" s="1"/>
  <c r="Y20" i="2"/>
  <c r="Y21" i="2" s="1"/>
  <c r="H20" i="2"/>
  <c r="AT21" i="2"/>
  <c r="H11" i="4"/>
  <c r="H25" i="7"/>
  <c r="I12" i="7"/>
  <c r="I15" i="4"/>
  <c r="T6" i="7"/>
  <c r="S19" i="7"/>
  <c r="E19" i="8"/>
  <c r="H20" i="4"/>
  <c r="D19" i="8"/>
  <c r="C19" i="8"/>
  <c r="H19" i="7"/>
  <c r="I6" i="7"/>
  <c r="M20" i="7"/>
  <c r="N7" i="7"/>
  <c r="AR21" i="2"/>
  <c r="F19" i="8"/>
  <c r="G19" i="8"/>
  <c r="N18" i="3"/>
  <c r="D3" i="9" l="1"/>
  <c r="D27" i="9" s="1"/>
  <c r="C4" i="3"/>
  <c r="C9" i="3" s="1"/>
  <c r="E3" i="9"/>
  <c r="E27" i="9" s="1"/>
  <c r="F3" i="9" s="1"/>
  <c r="F27" i="9" s="1"/>
  <c r="D4" i="3"/>
  <c r="D9" i="3" s="1"/>
  <c r="D20" i="8"/>
  <c r="D21" i="8" s="1"/>
  <c r="C20" i="8"/>
  <c r="C21" i="8" s="1"/>
  <c r="F20" i="8"/>
  <c r="F21" i="8" s="1"/>
  <c r="H21" i="2"/>
  <c r="G20" i="8"/>
  <c r="G21" i="8" s="1"/>
  <c r="E20" i="8"/>
  <c r="E21" i="8" s="1"/>
  <c r="C31" i="6"/>
  <c r="H10" i="7"/>
  <c r="J4" i="7"/>
  <c r="I17" i="7"/>
  <c r="J2" i="2"/>
  <c r="I2" i="7"/>
  <c r="I2" i="3"/>
  <c r="I2" i="6"/>
  <c r="I2" i="4"/>
  <c r="I2" i="9"/>
  <c r="I19" i="7"/>
  <c r="J6" i="7"/>
  <c r="H5" i="7"/>
  <c r="I11" i="4"/>
  <c r="J15" i="4"/>
  <c r="O18" i="3"/>
  <c r="C18" i="10"/>
  <c r="N20" i="7"/>
  <c r="O7" i="7"/>
  <c r="I25" i="7"/>
  <c r="J12" i="7"/>
  <c r="H9" i="7"/>
  <c r="I20" i="4"/>
  <c r="U6" i="7"/>
  <c r="T19" i="7"/>
  <c r="G3" i="9" l="1"/>
  <c r="G27" i="9" s="1"/>
  <c r="G4" i="3" s="1"/>
  <c r="G9" i="3" s="1"/>
  <c r="F4" i="3"/>
  <c r="F9" i="3" s="1"/>
  <c r="E4" i="3"/>
  <c r="E9" i="3" s="1"/>
  <c r="K4" i="7"/>
  <c r="J17" i="7"/>
  <c r="I10" i="7"/>
  <c r="H23" i="7"/>
  <c r="K2" i="2"/>
  <c r="J2" i="3"/>
  <c r="J2" i="6"/>
  <c r="J2" i="9"/>
  <c r="J2" i="4"/>
  <c r="J2" i="7"/>
  <c r="P18" i="3"/>
  <c r="J11" i="4"/>
  <c r="I5" i="7"/>
  <c r="H18" i="7"/>
  <c r="H22" i="7"/>
  <c r="I9" i="7"/>
  <c r="K15" i="4"/>
  <c r="U19" i="7"/>
  <c r="V6" i="7"/>
  <c r="J20" i="4"/>
  <c r="J25" i="7"/>
  <c r="K12" i="7"/>
  <c r="H30" i="6"/>
  <c r="O20" i="7"/>
  <c r="P7" i="7"/>
  <c r="J19" i="7"/>
  <c r="K6" i="7"/>
  <c r="I23" i="7" l="1"/>
  <c r="J10" i="7"/>
  <c r="L2" i="2"/>
  <c r="K2" i="4"/>
  <c r="K2" i="7"/>
  <c r="K2" i="9"/>
  <c r="K2" i="3"/>
  <c r="K2" i="6"/>
  <c r="L4" i="7"/>
  <c r="K17" i="7"/>
  <c r="I15" i="6"/>
  <c r="H20" i="6"/>
  <c r="L6" i="7"/>
  <c r="K19" i="7"/>
  <c r="L15" i="4"/>
  <c r="I18" i="7"/>
  <c r="J5" i="7"/>
  <c r="I30" i="6"/>
  <c r="K20" i="4"/>
  <c r="I22" i="7"/>
  <c r="J9" i="7"/>
  <c r="K11" i="4"/>
  <c r="P20" i="7"/>
  <c r="Q7" i="7"/>
  <c r="L12" i="7"/>
  <c r="K25" i="7"/>
  <c r="V19" i="7"/>
  <c r="W6" i="7"/>
  <c r="Q18" i="3"/>
  <c r="M2" i="2" l="1"/>
  <c r="L2" i="7"/>
  <c r="L2" i="6"/>
  <c r="L2" i="4"/>
  <c r="L2" i="9"/>
  <c r="L2" i="3"/>
  <c r="K10" i="7"/>
  <c r="J23" i="7"/>
  <c r="M4" i="7"/>
  <c r="L17" i="7"/>
  <c r="J15" i="6"/>
  <c r="I20" i="6"/>
  <c r="M15" i="4"/>
  <c r="M12" i="7"/>
  <c r="L25" i="7"/>
  <c r="J22" i="7"/>
  <c r="K9" i="7"/>
  <c r="K5" i="7"/>
  <c r="J18" i="7"/>
  <c r="L11" i="4"/>
  <c r="L20" i="4"/>
  <c r="R18" i="3"/>
  <c r="X6" i="7"/>
  <c r="W19" i="7"/>
  <c r="R7" i="7"/>
  <c r="Q20" i="7"/>
  <c r="J30" i="6"/>
  <c r="M6" i="7"/>
  <c r="L19" i="7"/>
  <c r="K23" i="7" l="1"/>
  <c r="L10" i="7"/>
  <c r="M17" i="7"/>
  <c r="N4" i="7"/>
  <c r="N2" i="2"/>
  <c r="M2" i="9"/>
  <c r="M2" i="6"/>
  <c r="M2" i="7"/>
  <c r="M2" i="3"/>
  <c r="M2" i="4"/>
  <c r="J20" i="6"/>
  <c r="K15" i="6"/>
  <c r="K30" i="6"/>
  <c r="M11" i="4"/>
  <c r="K18" i="7"/>
  <c r="L5" i="7"/>
  <c r="N15" i="4"/>
  <c r="Y6" i="7"/>
  <c r="X19" i="7"/>
  <c r="M20" i="4"/>
  <c r="L9" i="7"/>
  <c r="K22" i="7"/>
  <c r="M19" i="7"/>
  <c r="N6" i="7"/>
  <c r="N19" i="7" s="1"/>
  <c r="R20" i="7"/>
  <c r="S7" i="7"/>
  <c r="S18" i="3"/>
  <c r="M25" i="7"/>
  <c r="N12" i="7"/>
  <c r="O2" i="2" l="1"/>
  <c r="N2" i="3"/>
  <c r="N2" i="7"/>
  <c r="N2" i="4"/>
  <c r="N2" i="6"/>
  <c r="N2" i="9"/>
  <c r="O4" i="7"/>
  <c r="N17" i="7"/>
  <c r="L23" i="7"/>
  <c r="M10" i="7"/>
  <c r="K20" i="6"/>
  <c r="L15" i="6"/>
  <c r="N20" i="4"/>
  <c r="Y19" i="7"/>
  <c r="Z6" i="7"/>
  <c r="L18" i="7"/>
  <c r="M5" i="7"/>
  <c r="T18" i="3"/>
  <c r="S20" i="7"/>
  <c r="T7" i="7"/>
  <c r="M9" i="7"/>
  <c r="L22" i="7"/>
  <c r="O15" i="4"/>
  <c r="N11" i="4"/>
  <c r="O12" i="7"/>
  <c r="N25" i="7"/>
  <c r="L30" i="6"/>
  <c r="P4" i="7" l="1"/>
  <c r="O17" i="7"/>
  <c r="N10" i="7"/>
  <c r="M23" i="7"/>
  <c r="P2" i="2"/>
  <c r="O2" i="6"/>
  <c r="O2" i="3"/>
  <c r="O2" i="4"/>
  <c r="O2" i="9"/>
  <c r="O2" i="7"/>
  <c r="M15" i="6"/>
  <c r="L20" i="6"/>
  <c r="O20" i="4"/>
  <c r="P12" i="7"/>
  <c r="O25" i="7"/>
  <c r="U18" i="3"/>
  <c r="Z19" i="7"/>
  <c r="AA6" i="7"/>
  <c r="O11" i="4"/>
  <c r="T20" i="7"/>
  <c r="U7" i="7"/>
  <c r="N5" i="7"/>
  <c r="M18" i="7"/>
  <c r="M30" i="6"/>
  <c r="P15" i="4"/>
  <c r="M22" i="7"/>
  <c r="N9" i="7"/>
  <c r="N23" i="7" l="1"/>
  <c r="O10" i="7"/>
  <c r="Q2" i="2"/>
  <c r="P2" i="7"/>
  <c r="P2" i="6"/>
  <c r="P2" i="4"/>
  <c r="P2" i="9"/>
  <c r="P2" i="3"/>
  <c r="Q4" i="7"/>
  <c r="P17" i="7"/>
  <c r="N15" i="6"/>
  <c r="M20" i="6"/>
  <c r="Q15" i="4"/>
  <c r="P25" i="7"/>
  <c r="Q12" i="7"/>
  <c r="V7" i="7"/>
  <c r="U20" i="7"/>
  <c r="P11" i="4"/>
  <c r="AB6" i="7"/>
  <c r="AA19" i="7"/>
  <c r="N18" i="7"/>
  <c r="O5" i="7"/>
  <c r="P20" i="4"/>
  <c r="O9" i="7"/>
  <c r="N22" i="7"/>
  <c r="N30" i="6"/>
  <c r="V18" i="3"/>
  <c r="R2" i="2" l="1"/>
  <c r="Q2" i="4"/>
  <c r="Q2" i="9"/>
  <c r="Q2" i="7"/>
  <c r="Q2" i="3"/>
  <c r="Q2" i="6"/>
  <c r="O23" i="7"/>
  <c r="P10" i="7"/>
  <c r="Q17" i="7"/>
  <c r="R4" i="7"/>
  <c r="O15" i="6"/>
  <c r="N20" i="6"/>
  <c r="C3" i="12"/>
  <c r="C5" i="12" s="1"/>
  <c r="C7" i="12" s="1"/>
  <c r="C13" i="12" s="1"/>
  <c r="O30" i="6"/>
  <c r="Q20" i="4"/>
  <c r="O18" i="7"/>
  <c r="P5" i="7"/>
  <c r="AC6" i="7"/>
  <c r="AB19" i="7"/>
  <c r="Q25" i="7"/>
  <c r="R12" i="7"/>
  <c r="V20" i="7"/>
  <c r="W7" i="7"/>
  <c r="Q11" i="4"/>
  <c r="R15" i="4"/>
  <c r="P9" i="7"/>
  <c r="O22" i="7"/>
  <c r="W18" i="3"/>
  <c r="P23" i="7" l="1"/>
  <c r="Q10" i="7"/>
  <c r="S4" i="7"/>
  <c r="R17" i="7"/>
  <c r="S2" i="2"/>
  <c r="R2" i="3"/>
  <c r="R2" i="9"/>
  <c r="R2" i="7"/>
  <c r="R2" i="6"/>
  <c r="R2" i="4"/>
  <c r="E16" i="12"/>
  <c r="E17" i="12"/>
  <c r="D16" i="12"/>
  <c r="D17" i="12"/>
  <c r="O20" i="6"/>
  <c r="P15" i="6"/>
  <c r="W20" i="7"/>
  <c r="X7" i="7"/>
  <c r="P30" i="6"/>
  <c r="R20" i="4"/>
  <c r="S12" i="7"/>
  <c r="R25" i="7"/>
  <c r="P18" i="7"/>
  <c r="Q5" i="7"/>
  <c r="Q9" i="7"/>
  <c r="P22" i="7"/>
  <c r="S15" i="4"/>
  <c r="X18" i="3"/>
  <c r="AC19" i="7"/>
  <c r="AD6" i="7"/>
  <c r="R11" i="4"/>
  <c r="S17" i="7" l="1"/>
  <c r="T4" i="7"/>
  <c r="R10" i="7"/>
  <c r="Q23" i="7"/>
  <c r="T2" i="2"/>
  <c r="S2" i="7"/>
  <c r="S2" i="6"/>
  <c r="S2" i="4"/>
  <c r="S2" i="3"/>
  <c r="S2" i="9"/>
  <c r="P20" i="6"/>
  <c r="Q15" i="6"/>
  <c r="S11" i="4"/>
  <c r="AD19" i="7"/>
  <c r="AE6" i="7"/>
  <c r="S20" i="4"/>
  <c r="T15" i="4"/>
  <c r="Q22" i="7"/>
  <c r="R9" i="7"/>
  <c r="S25" i="7"/>
  <c r="T12" i="7"/>
  <c r="R5" i="7"/>
  <c r="Q18" i="7"/>
  <c r="X20" i="7"/>
  <c r="Y7" i="7"/>
  <c r="Y18" i="3"/>
  <c r="Q30" i="6"/>
  <c r="R23" i="7" l="1"/>
  <c r="S10" i="7"/>
  <c r="U4" i="7"/>
  <c r="T17" i="7"/>
  <c r="U2" i="2"/>
  <c r="T2" i="7"/>
  <c r="T2" i="6"/>
  <c r="T2" i="4"/>
  <c r="T2" i="9"/>
  <c r="T2" i="3"/>
  <c r="R15" i="6"/>
  <c r="Q20" i="6"/>
  <c r="T11" i="4"/>
  <c r="S9" i="7"/>
  <c r="R22" i="7"/>
  <c r="R30" i="6"/>
  <c r="S5" i="7"/>
  <c r="R18" i="7"/>
  <c r="U12" i="7"/>
  <c r="T25" i="7"/>
  <c r="T20" i="4"/>
  <c r="AF6" i="7"/>
  <c r="AE19" i="7"/>
  <c r="Z7" i="7"/>
  <c r="Y20" i="7"/>
  <c r="Z18" i="3"/>
  <c r="U15" i="4"/>
  <c r="U17" i="7" l="1"/>
  <c r="V4" i="7"/>
  <c r="S23" i="7"/>
  <c r="T10" i="7"/>
  <c r="V2" i="2"/>
  <c r="U2" i="6"/>
  <c r="U2" i="9"/>
  <c r="U2" i="4"/>
  <c r="U2" i="3"/>
  <c r="U2" i="7"/>
  <c r="S15" i="6"/>
  <c r="R20" i="6"/>
  <c r="S30" i="6"/>
  <c r="D18" i="10"/>
  <c r="AA18" i="3"/>
  <c r="S18" i="7"/>
  <c r="T5" i="7"/>
  <c r="U20" i="4"/>
  <c r="S22" i="7"/>
  <c r="T9" i="7"/>
  <c r="U11" i="4"/>
  <c r="AA7" i="7"/>
  <c r="Z20" i="7"/>
  <c r="V15" i="4"/>
  <c r="AF19" i="7"/>
  <c r="AG6" i="7"/>
  <c r="U25" i="7"/>
  <c r="V12" i="7"/>
  <c r="U10" i="7" l="1"/>
  <c r="T23" i="7"/>
  <c r="V17" i="7"/>
  <c r="W4" i="7"/>
  <c r="W2" i="2"/>
  <c r="V2" i="3"/>
  <c r="V2" i="4"/>
  <c r="V2" i="7"/>
  <c r="V2" i="9"/>
  <c r="V2" i="6"/>
  <c r="S20" i="6"/>
  <c r="T15" i="6"/>
  <c r="T18" i="7"/>
  <c r="U5" i="7"/>
  <c r="T30" i="6"/>
  <c r="V20" i="4"/>
  <c r="AG19" i="7"/>
  <c r="AH6" i="7"/>
  <c r="AA20" i="7"/>
  <c r="AB7" i="7"/>
  <c r="V11" i="4"/>
  <c r="AB18" i="3"/>
  <c r="V25" i="7"/>
  <c r="W12" i="7"/>
  <c r="W15" i="4"/>
  <c r="U9" i="7"/>
  <c r="T22" i="7"/>
  <c r="X4" i="7" l="1"/>
  <c r="W17" i="7"/>
  <c r="X2" i="2"/>
  <c r="W2" i="9"/>
  <c r="W2" i="6"/>
  <c r="W2" i="3"/>
  <c r="W2" i="7"/>
  <c r="W2" i="4"/>
  <c r="V10" i="7"/>
  <c r="U23" i="7"/>
  <c r="U15" i="6"/>
  <c r="T20" i="6"/>
  <c r="AI6" i="7"/>
  <c r="AH19" i="7"/>
  <c r="W11" i="4"/>
  <c r="U22" i="7"/>
  <c r="V9" i="7"/>
  <c r="X12" i="7"/>
  <c r="W25" i="7"/>
  <c r="AB20" i="7"/>
  <c r="AC7" i="7"/>
  <c r="W20" i="4"/>
  <c r="V5" i="7"/>
  <c r="U18" i="7"/>
  <c r="X15" i="4"/>
  <c r="AC18" i="3"/>
  <c r="U30" i="6"/>
  <c r="Y2" i="2" l="1"/>
  <c r="X2" i="7"/>
  <c r="X2" i="6"/>
  <c r="X2" i="4"/>
  <c r="X2" i="9"/>
  <c r="X2" i="3"/>
  <c r="W10" i="7"/>
  <c r="V23" i="7"/>
  <c r="Y4" i="7"/>
  <c r="X17" i="7"/>
  <c r="V15" i="6"/>
  <c r="U20" i="6"/>
  <c r="Y15" i="4"/>
  <c r="X20" i="4"/>
  <c r="V30" i="6"/>
  <c r="X11" i="4"/>
  <c r="AI19" i="7"/>
  <c r="AJ6" i="7"/>
  <c r="AD18" i="3"/>
  <c r="Y12" i="7"/>
  <c r="X25" i="7"/>
  <c r="W5" i="7"/>
  <c r="V18" i="7"/>
  <c r="AD7" i="7"/>
  <c r="AC20" i="7"/>
  <c r="V22" i="7"/>
  <c r="W9" i="7"/>
  <c r="W23" i="7" l="1"/>
  <c r="X10" i="7"/>
  <c r="Y17" i="7"/>
  <c r="Z4" i="7"/>
  <c r="Z2" i="2"/>
  <c r="Y2" i="7"/>
  <c r="Y2" i="3"/>
  <c r="Y2" i="4"/>
  <c r="Y2" i="6"/>
  <c r="Y2" i="9"/>
  <c r="W15" i="6"/>
  <c r="V20" i="6"/>
  <c r="Y25" i="7"/>
  <c r="Z12" i="7"/>
  <c r="Z15" i="4"/>
  <c r="W18" i="7"/>
  <c r="X5" i="7"/>
  <c r="AE7" i="7"/>
  <c r="AD20" i="7"/>
  <c r="Y11" i="4"/>
  <c r="W22" i="7"/>
  <c r="X9" i="7"/>
  <c r="W30" i="6"/>
  <c r="AE18" i="3"/>
  <c r="AJ19" i="7"/>
  <c r="AK6" i="7"/>
  <c r="Y20" i="4"/>
  <c r="Z17" i="7" l="1"/>
  <c r="AA4" i="7"/>
  <c r="X23" i="7"/>
  <c r="Y10" i="7"/>
  <c r="AB2" i="2"/>
  <c r="Z2" i="3"/>
  <c r="Z2" i="6"/>
  <c r="Z2" i="4"/>
  <c r="Z2" i="9"/>
  <c r="Z2" i="7"/>
  <c r="W20" i="6"/>
  <c r="X15" i="6"/>
  <c r="AA15" i="4"/>
  <c r="Z20" i="4"/>
  <c r="Y9" i="7"/>
  <c r="X22" i="7"/>
  <c r="Z11" i="4"/>
  <c r="X30" i="6"/>
  <c r="AE20" i="7"/>
  <c r="AF7" i="7"/>
  <c r="X18" i="7"/>
  <c r="Y5" i="7"/>
  <c r="AL6" i="7"/>
  <c r="AK19" i="7"/>
  <c r="AF18" i="3"/>
  <c r="Z25" i="7"/>
  <c r="AA12" i="7"/>
  <c r="Y23" i="7" l="1"/>
  <c r="Z10" i="7"/>
  <c r="AB4" i="7"/>
  <c r="AA17" i="7"/>
  <c r="AC2" i="2"/>
  <c r="AB2" i="7"/>
  <c r="AB2" i="6"/>
  <c r="AB2" i="4"/>
  <c r="AB2" i="9"/>
  <c r="AB2" i="3"/>
  <c r="X20" i="6"/>
  <c r="Y15" i="6"/>
  <c r="Z5" i="7"/>
  <c r="Y18" i="7"/>
  <c r="AA11" i="4"/>
  <c r="AB12" i="7"/>
  <c r="AA25" i="7"/>
  <c r="Y30" i="6"/>
  <c r="AB15" i="4"/>
  <c r="AA20" i="4"/>
  <c r="AG18" i="3"/>
  <c r="AM6" i="7"/>
  <c r="AL19" i="7"/>
  <c r="AF20" i="7"/>
  <c r="AG7" i="7"/>
  <c r="Y22" i="7"/>
  <c r="Z9" i="7"/>
  <c r="AA10" i="7" l="1"/>
  <c r="Z23" i="7"/>
  <c r="AC4" i="7"/>
  <c r="AB17" i="7"/>
  <c r="AD2" i="2"/>
  <c r="AC2" i="9"/>
  <c r="AC2" i="6"/>
  <c r="AC2" i="7"/>
  <c r="AC2" i="3"/>
  <c r="AC2" i="4"/>
  <c r="Y20" i="6"/>
  <c r="Z15" i="6"/>
  <c r="AC12" i="7"/>
  <c r="AB25" i="7"/>
  <c r="AH7" i="7"/>
  <c r="AG20" i="7"/>
  <c r="Z22" i="7"/>
  <c r="AA9" i="7"/>
  <c r="AA5" i="7"/>
  <c r="Z18" i="7"/>
  <c r="AC15" i="4"/>
  <c r="Z30" i="6"/>
  <c r="AB11" i="4"/>
  <c r="AM19" i="7"/>
  <c r="AN6" i="7"/>
  <c r="AH18" i="3"/>
  <c r="AB20" i="4"/>
  <c r="AD4" i="7" l="1"/>
  <c r="AC17" i="7"/>
  <c r="AE2" i="2"/>
  <c r="AD2" i="3"/>
  <c r="AD2" i="7"/>
  <c r="AD2" i="4"/>
  <c r="AD2" i="6"/>
  <c r="AD2" i="9"/>
  <c r="AB10" i="7"/>
  <c r="AA23" i="7"/>
  <c r="Z20" i="6"/>
  <c r="AA15" i="6"/>
  <c r="AC11" i="4"/>
  <c r="AA30" i="6"/>
  <c r="AH20" i="7"/>
  <c r="AI7" i="7"/>
  <c r="AA18" i="7"/>
  <c r="AB5" i="7"/>
  <c r="AC20" i="4"/>
  <c r="AD15" i="4"/>
  <c r="AC25" i="7"/>
  <c r="AD12" i="7"/>
  <c r="AI18" i="3"/>
  <c r="AN19" i="7"/>
  <c r="AO6" i="7"/>
  <c r="AB9" i="7"/>
  <c r="AA22" i="7"/>
  <c r="AF2" i="2" l="1"/>
  <c r="AE2" i="6"/>
  <c r="AE2" i="3"/>
  <c r="AE2" i="9"/>
  <c r="AE2" i="4"/>
  <c r="AE2" i="7"/>
  <c r="AB23" i="7"/>
  <c r="AC10" i="7"/>
  <c r="AE4" i="7"/>
  <c r="AD17" i="7"/>
  <c r="AA20" i="6"/>
  <c r="AB15" i="6"/>
  <c r="AD11" i="4"/>
  <c r="AD25" i="7"/>
  <c r="AE12" i="7"/>
  <c r="AE15" i="4"/>
  <c r="AD20" i="4"/>
  <c r="AB30" i="6"/>
  <c r="AP6" i="7"/>
  <c r="AO19" i="7"/>
  <c r="AC9" i="7"/>
  <c r="AB22" i="7"/>
  <c r="AB18" i="7"/>
  <c r="AC5" i="7"/>
  <c r="AJ18" i="3"/>
  <c r="AI20" i="7"/>
  <c r="AJ7" i="7"/>
  <c r="AD10" i="7" l="1"/>
  <c r="AC23" i="7"/>
  <c r="AE17" i="7"/>
  <c r="AF4" i="7"/>
  <c r="AG2" i="2"/>
  <c r="AF2" i="7"/>
  <c r="AF2" i="6"/>
  <c r="AF2" i="4"/>
  <c r="AF2" i="9"/>
  <c r="AF2" i="3"/>
  <c r="AC15" i="6"/>
  <c r="AB20" i="6"/>
  <c r="AE11" i="4"/>
  <c r="AK7" i="7"/>
  <c r="AJ20" i="7"/>
  <c r="AK18" i="3"/>
  <c r="AF12" i="7"/>
  <c r="AE25" i="7"/>
  <c r="AC22" i="7"/>
  <c r="AD9" i="7"/>
  <c r="AC30" i="6"/>
  <c r="AE20" i="4"/>
  <c r="AD5" i="7"/>
  <c r="AC18" i="7"/>
  <c r="AQ6" i="7"/>
  <c r="AP19" i="7"/>
  <c r="AF15" i="4"/>
  <c r="AG4" i="7" l="1"/>
  <c r="AF17" i="7"/>
  <c r="AH2" i="2"/>
  <c r="AG2" i="4"/>
  <c r="AG2" i="7"/>
  <c r="AG2" i="9"/>
  <c r="AG2" i="3"/>
  <c r="AG2" i="6"/>
  <c r="AE10" i="7"/>
  <c r="AD23" i="7"/>
  <c r="AC20" i="6"/>
  <c r="AD15" i="6"/>
  <c r="AK20" i="7"/>
  <c r="AL7" i="7"/>
  <c r="AR6" i="7"/>
  <c r="AQ19" i="7"/>
  <c r="AD30" i="6"/>
  <c r="AF11" i="4"/>
  <c r="AF20" i="4"/>
  <c r="AD22" i="7"/>
  <c r="AE9" i="7"/>
  <c r="AL18" i="3"/>
  <c r="AG15" i="4"/>
  <c r="AE5" i="7"/>
  <c r="AD18" i="7"/>
  <c r="AF25" i="7"/>
  <c r="AG12" i="7"/>
  <c r="AI2" i="2" l="1"/>
  <c r="AH2" i="3"/>
  <c r="AH2" i="9"/>
  <c r="AH2" i="7"/>
  <c r="AH2" i="6"/>
  <c r="AH2" i="4"/>
  <c r="AE23" i="7"/>
  <c r="AF10" i="7"/>
  <c r="AG17" i="7"/>
  <c r="AH4" i="7"/>
  <c r="AD20" i="6"/>
  <c r="AE15" i="6"/>
  <c r="AR19" i="7"/>
  <c r="AS6" i="7"/>
  <c r="AH15" i="4"/>
  <c r="AF9" i="7"/>
  <c r="AE22" i="7"/>
  <c r="AG25" i="7"/>
  <c r="AH12" i="7"/>
  <c r="AG11" i="4"/>
  <c r="AE30" i="6"/>
  <c r="AM18" i="3"/>
  <c r="E18" i="10"/>
  <c r="AE18" i="7"/>
  <c r="AF5" i="7"/>
  <c r="AG20" i="4"/>
  <c r="AL20" i="7"/>
  <c r="AM7" i="7"/>
  <c r="AG10" i="7" l="1"/>
  <c r="AF23" i="7"/>
  <c r="AI4" i="7"/>
  <c r="AH17" i="7"/>
  <c r="AJ2" i="2"/>
  <c r="AI2" i="7"/>
  <c r="AI2" i="6"/>
  <c r="AI2" i="4"/>
  <c r="AI2" i="3"/>
  <c r="AI2" i="9"/>
  <c r="AE20" i="6"/>
  <c r="AF15" i="6"/>
  <c r="AF30" i="6"/>
  <c r="AI12" i="7"/>
  <c r="AH25" i="7"/>
  <c r="AN7" i="7"/>
  <c r="AM20" i="7"/>
  <c r="AN18" i="3"/>
  <c r="AF22" i="7"/>
  <c r="AG9" i="7"/>
  <c r="AI15" i="4"/>
  <c r="AT6" i="7"/>
  <c r="AS19" i="7"/>
  <c r="AH20" i="4"/>
  <c r="AF18" i="7"/>
  <c r="AG5" i="7"/>
  <c r="AH11" i="4"/>
  <c r="AI17" i="7" l="1"/>
  <c r="AJ4" i="7"/>
  <c r="AK2" i="2"/>
  <c r="AJ2" i="7"/>
  <c r="AJ2" i="6"/>
  <c r="AJ2" i="4"/>
  <c r="AJ2" i="9"/>
  <c r="AJ2" i="3"/>
  <c r="AG23" i="7"/>
  <c r="AH10" i="7"/>
  <c r="AG15" i="6"/>
  <c r="AF20" i="6"/>
  <c r="AI25" i="7"/>
  <c r="AJ12" i="7"/>
  <c r="AI11" i="4"/>
  <c r="AU6" i="7"/>
  <c r="AT19" i="7"/>
  <c r="AO18" i="3"/>
  <c r="AG30" i="6"/>
  <c r="AH5" i="7"/>
  <c r="AG18" i="7"/>
  <c r="AG22" i="7"/>
  <c r="AH9" i="7"/>
  <c r="AI20" i="4"/>
  <c r="AJ15" i="4"/>
  <c r="AO7" i="7"/>
  <c r="AN20" i="7"/>
  <c r="AL2" i="2" l="1"/>
  <c r="AK2" i="6"/>
  <c r="AK2" i="3"/>
  <c r="AK2" i="4"/>
  <c r="AK2" i="9"/>
  <c r="AK2" i="7"/>
  <c r="AH23" i="7"/>
  <c r="AI10" i="7"/>
  <c r="AJ17" i="7"/>
  <c r="AK4" i="7"/>
  <c r="AG20" i="6"/>
  <c r="AH15" i="6"/>
  <c r="AK15" i="4"/>
  <c r="AH30" i="6"/>
  <c r="AV6" i="7"/>
  <c r="AU19" i="7"/>
  <c r="AJ25" i="7"/>
  <c r="AK12" i="7"/>
  <c r="AJ11" i="4"/>
  <c r="AJ20" i="4"/>
  <c r="AH18" i="7"/>
  <c r="AI5" i="7"/>
  <c r="AO20" i="7"/>
  <c r="AP7" i="7"/>
  <c r="AI9" i="7"/>
  <c r="AH22" i="7"/>
  <c r="AP18" i="3"/>
  <c r="AI23" i="7" l="1"/>
  <c r="AJ10" i="7"/>
  <c r="AL4" i="7"/>
  <c r="AK17" i="7"/>
  <c r="AM2" i="2"/>
  <c r="AL2" i="3"/>
  <c r="AL2" i="4"/>
  <c r="AL2" i="9"/>
  <c r="AL2" i="7"/>
  <c r="AL2" i="6"/>
  <c r="AI15" i="6"/>
  <c r="AH20" i="6"/>
  <c r="AP20" i="7"/>
  <c r="AQ7" i="7"/>
  <c r="AJ9" i="7"/>
  <c r="AI22" i="7"/>
  <c r="AW6" i="7"/>
  <c r="AV19" i="7"/>
  <c r="AQ18" i="3"/>
  <c r="AK20" i="4"/>
  <c r="AL12" i="7"/>
  <c r="AK25" i="7"/>
  <c r="AI30" i="6"/>
  <c r="AI18" i="7"/>
  <c r="AJ5" i="7"/>
  <c r="AK11" i="4"/>
  <c r="AL15" i="4"/>
  <c r="AM4" i="7" l="1"/>
  <c r="AL17" i="7"/>
  <c r="AK10" i="7"/>
  <c r="AJ23" i="7"/>
  <c r="AN2" i="2"/>
  <c r="AM2" i="9"/>
  <c r="AM2" i="6"/>
  <c r="AM2" i="7"/>
  <c r="AM2" i="4"/>
  <c r="AM2" i="3"/>
  <c r="AI20" i="6"/>
  <c r="AJ15" i="6"/>
  <c r="AR18" i="3"/>
  <c r="AJ22" i="7"/>
  <c r="AK9" i="7"/>
  <c r="AL20" i="4"/>
  <c r="AM15" i="4"/>
  <c r="AM12" i="7"/>
  <c r="AL25" i="7"/>
  <c r="AX6" i="7"/>
  <c r="AW19" i="7"/>
  <c r="AL11" i="4"/>
  <c r="AK5" i="7"/>
  <c r="AJ18" i="7"/>
  <c r="AJ30" i="6"/>
  <c r="AQ20" i="7"/>
  <c r="AR7" i="7"/>
  <c r="AK23" i="7" l="1"/>
  <c r="AL10" i="7"/>
  <c r="AO2" i="2"/>
  <c r="AN2" i="7"/>
  <c r="AN2" i="6"/>
  <c r="AN2" i="4"/>
  <c r="AN2" i="9"/>
  <c r="AN2" i="3"/>
  <c r="AM17" i="7"/>
  <c r="AN4" i="7"/>
  <c r="AJ20" i="6"/>
  <c r="AK15" i="6"/>
  <c r="AK30" i="6"/>
  <c r="AS18" i="3"/>
  <c r="AX19" i="7"/>
  <c r="AY6" i="7"/>
  <c r="AM20" i="4"/>
  <c r="AL9" i="7"/>
  <c r="AK22" i="7"/>
  <c r="AS7" i="7"/>
  <c r="AR20" i="7"/>
  <c r="AK18" i="7"/>
  <c r="AL5" i="7"/>
  <c r="AM11" i="4"/>
  <c r="AM25" i="7"/>
  <c r="AN12" i="7"/>
  <c r="AN15" i="4"/>
  <c r="AN17" i="7" l="1"/>
  <c r="AO4" i="7"/>
  <c r="AM10" i="7"/>
  <c r="AL23" i="7"/>
  <c r="AP2" i="2"/>
  <c r="AO2" i="7"/>
  <c r="AO2" i="3"/>
  <c r="AO2" i="4"/>
  <c r="AO2" i="6"/>
  <c r="AO2" i="9"/>
  <c r="AK20" i="6"/>
  <c r="AL15" i="6"/>
  <c r="AY19" i="7"/>
  <c r="AZ6" i="7"/>
  <c r="AN25" i="7"/>
  <c r="AO12" i="7"/>
  <c r="AS20" i="7"/>
  <c r="AT7" i="7"/>
  <c r="AM9" i="7"/>
  <c r="AL22" i="7"/>
  <c r="AT18" i="3"/>
  <c r="AL30" i="6"/>
  <c r="AO15" i="4"/>
  <c r="AL18" i="7"/>
  <c r="AM5" i="7"/>
  <c r="AN11" i="4"/>
  <c r="AN20" i="4"/>
  <c r="AP4" i="7" l="1"/>
  <c r="AO17" i="7"/>
  <c r="AM23" i="7"/>
  <c r="AN10" i="7"/>
  <c r="AQ2" i="2"/>
  <c r="AP2" i="3"/>
  <c r="AP2" i="6"/>
  <c r="AP2" i="9"/>
  <c r="AP2" i="4"/>
  <c r="AP2" i="7"/>
  <c r="AL20" i="6"/>
  <c r="AM15" i="6"/>
  <c r="AO20" i="4"/>
  <c r="AP12" i="7"/>
  <c r="AO25" i="7"/>
  <c r="AM22" i="7"/>
  <c r="AN9" i="7"/>
  <c r="BA6" i="7"/>
  <c r="AZ19" i="7"/>
  <c r="AO11" i="4"/>
  <c r="AN5" i="7"/>
  <c r="AM18" i="7"/>
  <c r="AP15" i="4"/>
  <c r="AM30" i="6"/>
  <c r="AU18" i="3"/>
  <c r="AT20" i="7"/>
  <c r="AU7" i="7"/>
  <c r="AO10" i="7" l="1"/>
  <c r="AN23" i="7"/>
  <c r="AR2" i="2"/>
  <c r="AQ2" i="7"/>
  <c r="AQ2" i="4"/>
  <c r="AQ2" i="3"/>
  <c r="AQ2" i="9"/>
  <c r="AQ2" i="6"/>
  <c r="AQ4" i="7"/>
  <c r="AP17" i="7"/>
  <c r="AM20" i="6"/>
  <c r="AN15" i="6"/>
  <c r="AQ12" i="7"/>
  <c r="AP25" i="7"/>
  <c r="AQ15" i="4"/>
  <c r="AP11" i="4"/>
  <c r="AV18" i="3"/>
  <c r="AN30" i="6"/>
  <c r="BB6" i="7"/>
  <c r="BA19" i="7"/>
  <c r="AU20" i="7"/>
  <c r="AV7" i="7"/>
  <c r="AO5" i="7"/>
  <c r="AN18" i="7"/>
  <c r="AN22" i="7"/>
  <c r="AO9" i="7"/>
  <c r="AP20" i="4"/>
  <c r="AS2" i="2" l="1"/>
  <c r="AR2" i="7"/>
  <c r="AR2" i="6"/>
  <c r="AR2" i="4"/>
  <c r="AR2" i="9"/>
  <c r="AR2" i="3"/>
  <c r="AQ17" i="7"/>
  <c r="AR4" i="7"/>
  <c r="AP10" i="7"/>
  <c r="AO23" i="7"/>
  <c r="AO15" i="6"/>
  <c r="AN20" i="6"/>
  <c r="AR12" i="7"/>
  <c r="AQ25" i="7"/>
  <c r="AO18" i="7"/>
  <c r="AP5" i="7"/>
  <c r="AV20" i="7"/>
  <c r="AW7" i="7"/>
  <c r="BB19" i="7"/>
  <c r="BC6" i="7"/>
  <c r="AR15" i="4"/>
  <c r="AO30" i="6"/>
  <c r="AQ11" i="4"/>
  <c r="AQ20" i="4"/>
  <c r="AP9" i="7"/>
  <c r="AO22" i="7"/>
  <c r="AW18" i="3"/>
  <c r="AR17" i="7" l="1"/>
  <c r="AS4" i="7"/>
  <c r="AQ10" i="7"/>
  <c r="AP23" i="7"/>
  <c r="AT2" i="2"/>
  <c r="AS2" i="9"/>
  <c r="AS2" i="7"/>
  <c r="AS2" i="6"/>
  <c r="AS2" i="3"/>
  <c r="AS2" i="4"/>
  <c r="AP15" i="6"/>
  <c r="AO20" i="6"/>
  <c r="AP30" i="6"/>
  <c r="BC19" i="7"/>
  <c r="BD6" i="7"/>
  <c r="AW20" i="7"/>
  <c r="AX7" i="7"/>
  <c r="AR11" i="4"/>
  <c r="AP18" i="7"/>
  <c r="AQ5" i="7"/>
  <c r="AR20" i="4"/>
  <c r="AX18" i="3"/>
  <c r="AQ9" i="7"/>
  <c r="AP22" i="7"/>
  <c r="AR25" i="7"/>
  <c r="AS12" i="7"/>
  <c r="AS15" i="4"/>
  <c r="AR10" i="7" l="1"/>
  <c r="AQ23" i="7"/>
  <c r="AT4" i="7"/>
  <c r="AS17" i="7"/>
  <c r="AU2" i="2"/>
  <c r="AT2" i="3"/>
  <c r="AT2" i="7"/>
  <c r="AT2" i="6"/>
  <c r="AT2" i="4"/>
  <c r="AT2" i="9"/>
  <c r="AP20" i="6"/>
  <c r="AQ15" i="6"/>
  <c r="AS11" i="4"/>
  <c r="AQ22" i="7"/>
  <c r="AR9" i="7"/>
  <c r="AQ30" i="6"/>
  <c r="AS20" i="4"/>
  <c r="AY7" i="7"/>
  <c r="AX20" i="7"/>
  <c r="AR5" i="7"/>
  <c r="AQ18" i="7"/>
  <c r="AT12" i="7"/>
  <c r="AS25" i="7"/>
  <c r="AT15" i="4"/>
  <c r="AY18" i="3"/>
  <c r="F18" i="10"/>
  <c r="BE6" i="7"/>
  <c r="BD19" i="7"/>
  <c r="AU4" i="7" l="1"/>
  <c r="AT17" i="7"/>
  <c r="AV2" i="2"/>
  <c r="AU2" i="7"/>
  <c r="AU2" i="6"/>
  <c r="AU2" i="3"/>
  <c r="AU2" i="4"/>
  <c r="AU2" i="9"/>
  <c r="AS10" i="7"/>
  <c r="AR23" i="7"/>
  <c r="AQ20" i="6"/>
  <c r="AR15" i="6"/>
  <c r="AT20" i="4"/>
  <c r="AU15" i="4"/>
  <c r="AU12" i="7"/>
  <c r="AT25" i="7"/>
  <c r="AT11" i="4"/>
  <c r="AR30" i="6"/>
  <c r="BF6" i="7"/>
  <c r="BE19" i="7"/>
  <c r="AZ7" i="7"/>
  <c r="AY20" i="7"/>
  <c r="AR22" i="7"/>
  <c r="AS9" i="7"/>
  <c r="AZ18" i="3"/>
  <c r="AS5" i="7"/>
  <c r="AR18" i="7"/>
  <c r="AW2" i="2" l="1"/>
  <c r="AV2" i="7"/>
  <c r="AV2" i="6"/>
  <c r="AV2" i="4"/>
  <c r="AV2" i="9"/>
  <c r="AV2" i="3"/>
  <c r="AT10" i="7"/>
  <c r="AS23" i="7"/>
  <c r="AV4" i="7"/>
  <c r="AU17" i="7"/>
  <c r="AR20" i="6"/>
  <c r="AS15" i="6"/>
  <c r="BF19" i="7"/>
  <c r="BG6" i="7"/>
  <c r="AU11" i="4"/>
  <c r="AV12" i="7"/>
  <c r="AU25" i="7"/>
  <c r="AU20" i="4"/>
  <c r="AZ20" i="7"/>
  <c r="BA7" i="7"/>
  <c r="BA18" i="3"/>
  <c r="AT5" i="7"/>
  <c r="AS18" i="7"/>
  <c r="AS22" i="7"/>
  <c r="AT9" i="7"/>
  <c r="AS30" i="6"/>
  <c r="AV15" i="4"/>
  <c r="AT23" i="7" l="1"/>
  <c r="AU10" i="7"/>
  <c r="AW4" i="7"/>
  <c r="AV17" i="7"/>
  <c r="AX2" i="2"/>
  <c r="AW2" i="7"/>
  <c r="AW2" i="4"/>
  <c r="AW2" i="9"/>
  <c r="AW2" i="3"/>
  <c r="AW2" i="6"/>
  <c r="AS20" i="6"/>
  <c r="AT15" i="6"/>
  <c r="AV20" i="4"/>
  <c r="AT30" i="6"/>
  <c r="AW15" i="4"/>
  <c r="AT18" i="7"/>
  <c r="AU5" i="7"/>
  <c r="AV25" i="7"/>
  <c r="AW12" i="7"/>
  <c r="BG19" i="7"/>
  <c r="BH6" i="7"/>
  <c r="BA20" i="7"/>
  <c r="BB7" i="7"/>
  <c r="AU9" i="7"/>
  <c r="AT22" i="7"/>
  <c r="BB18" i="3"/>
  <c r="AV11" i="4"/>
  <c r="C13" i="6"/>
  <c r="C19" i="6" s="1"/>
  <c r="AW17" i="7" l="1"/>
  <c r="AX4" i="7"/>
  <c r="D3" i="6"/>
  <c r="D11" i="6" s="1"/>
  <c r="C17" i="6"/>
  <c r="AV10" i="7"/>
  <c r="AU23" i="7"/>
  <c r="AZ2" i="2"/>
  <c r="AX2" i="3"/>
  <c r="AX2" i="9"/>
  <c r="AX2" i="6"/>
  <c r="AX2" i="4"/>
  <c r="AX2" i="7"/>
  <c r="AT20" i="6"/>
  <c r="AU15" i="6"/>
  <c r="AU30" i="6"/>
  <c r="AW11" i="4"/>
  <c r="BC7" i="7"/>
  <c r="BB20" i="7"/>
  <c r="AX12" i="7"/>
  <c r="AW25" i="7"/>
  <c r="BI6" i="7"/>
  <c r="BH19" i="7"/>
  <c r="AX15" i="4"/>
  <c r="AU22" i="7"/>
  <c r="AV9" i="7"/>
  <c r="BC18" i="3"/>
  <c r="AV5" i="7"/>
  <c r="AU18" i="7"/>
  <c r="AW20" i="4"/>
  <c r="D13" i="6" l="1"/>
  <c r="D19" i="6" s="1"/>
  <c r="AV23" i="7"/>
  <c r="AW10" i="7"/>
  <c r="D22" i="4"/>
  <c r="D25" i="6"/>
  <c r="BA2" i="2"/>
  <c r="AZ2" i="7"/>
  <c r="AZ2" i="6"/>
  <c r="AZ2" i="4"/>
  <c r="AZ2" i="9"/>
  <c r="AZ2" i="3"/>
  <c r="AY4" i="7"/>
  <c r="AX17" i="7"/>
  <c r="AU20" i="6"/>
  <c r="AV15" i="6"/>
  <c r="AV18" i="7"/>
  <c r="AW5" i="7"/>
  <c r="AW9" i="7"/>
  <c r="AV22" i="7"/>
  <c r="AX11" i="4"/>
  <c r="AX25" i="7"/>
  <c r="AY12" i="7"/>
  <c r="AV30" i="6"/>
  <c r="BD18" i="3"/>
  <c r="AX20" i="4"/>
  <c r="BJ6" i="7"/>
  <c r="BJ19" i="7" s="1"/>
  <c r="BI19" i="7"/>
  <c r="BD7" i="7"/>
  <c r="BC20" i="7"/>
  <c r="AY15" i="4"/>
  <c r="D17" i="6" l="1"/>
  <c r="E3" i="6"/>
  <c r="E11" i="6" s="1"/>
  <c r="D31" i="6"/>
  <c r="AW23" i="7"/>
  <c r="AX10" i="7"/>
  <c r="BB2" i="2"/>
  <c r="BA2" i="6"/>
  <c r="BA2" i="3"/>
  <c r="BA2" i="9"/>
  <c r="BA2" i="7"/>
  <c r="BA2" i="4"/>
  <c r="AZ4" i="7"/>
  <c r="AY17" i="7"/>
  <c r="AW15" i="6"/>
  <c r="AV20" i="6"/>
  <c r="BD20" i="7"/>
  <c r="BE7" i="7"/>
  <c r="AZ15" i="4"/>
  <c r="BE18" i="3"/>
  <c r="AY25" i="7"/>
  <c r="AZ12" i="7"/>
  <c r="AY20" i="4"/>
  <c r="AW30" i="6"/>
  <c r="AX9" i="7"/>
  <c r="AW22" i="7"/>
  <c r="AW18" i="7"/>
  <c r="AX5" i="7"/>
  <c r="AY11" i="4"/>
  <c r="BC2" i="2" l="1"/>
  <c r="BB2" i="3"/>
  <c r="BB2" i="7"/>
  <c r="BB2" i="4"/>
  <c r="BB2" i="9"/>
  <c r="BB2" i="6"/>
  <c r="AY10" i="7"/>
  <c r="AX23" i="7"/>
  <c r="E25" i="6"/>
  <c r="E22" i="4"/>
  <c r="BA4" i="7"/>
  <c r="AZ17" i="7"/>
  <c r="AW20" i="6"/>
  <c r="AX15" i="6"/>
  <c r="AX22" i="7"/>
  <c r="AY9" i="7"/>
  <c r="BA15" i="4"/>
  <c r="BF18" i="3"/>
  <c r="BE20" i="7"/>
  <c r="BF7" i="7"/>
  <c r="AZ11" i="4"/>
  <c r="AY5" i="7"/>
  <c r="AX18" i="7"/>
  <c r="AZ20" i="4"/>
  <c r="BA12" i="7"/>
  <c r="AZ25" i="7"/>
  <c r="AX30" i="6"/>
  <c r="E31" i="6" l="1"/>
  <c r="AZ10" i="7"/>
  <c r="AY23" i="7"/>
  <c r="BB4" i="7"/>
  <c r="BA17" i="7"/>
  <c r="BD2" i="2"/>
  <c r="BC2" i="7"/>
  <c r="BC2" i="9"/>
  <c r="BC2" i="6"/>
  <c r="BC2" i="4"/>
  <c r="BC2" i="3"/>
  <c r="AY15" i="6"/>
  <c r="AX20" i="6"/>
  <c r="AY30" i="6"/>
  <c r="AZ5" i="7"/>
  <c r="AY18" i="7"/>
  <c r="BA20" i="4"/>
  <c r="BB15" i="4"/>
  <c r="BA11" i="4"/>
  <c r="BG7" i="7"/>
  <c r="BF20" i="7"/>
  <c r="BG18" i="3"/>
  <c r="AY22" i="7"/>
  <c r="AZ9" i="7"/>
  <c r="BB12" i="7"/>
  <c r="BA25" i="7"/>
  <c r="C22" i="3" l="1"/>
  <c r="C23" i="3" s="1"/>
  <c r="C29" i="9"/>
  <c r="C25" i="3"/>
  <c r="C26" i="3" s="1"/>
  <c r="BA10" i="7"/>
  <c r="AZ23" i="7"/>
  <c r="F25" i="6"/>
  <c r="F22" i="4"/>
  <c r="BE2" i="2"/>
  <c r="BD2" i="7"/>
  <c r="BD2" i="6"/>
  <c r="BD2" i="4"/>
  <c r="BD2" i="9"/>
  <c r="BD2" i="3"/>
  <c r="BB17" i="7"/>
  <c r="BC4" i="7"/>
  <c r="AZ15" i="6"/>
  <c r="AY20" i="6"/>
  <c r="BC15" i="4"/>
  <c r="BH18" i="3"/>
  <c r="AZ18" i="7"/>
  <c r="BA5" i="7"/>
  <c r="BB25" i="7"/>
  <c r="BC12" i="7"/>
  <c r="BG20" i="7"/>
  <c r="BH7" i="7"/>
  <c r="BA9" i="7"/>
  <c r="AZ22" i="7"/>
  <c r="BB20" i="4"/>
  <c r="AZ30" i="6"/>
  <c r="BB11" i="4"/>
  <c r="BD4" i="7" l="1"/>
  <c r="BC17" i="7"/>
  <c r="D22" i="3"/>
  <c r="D23" i="3" s="1"/>
  <c r="F31" i="6"/>
  <c r="BF2" i="2"/>
  <c r="BE2" i="3"/>
  <c r="BE2" i="6"/>
  <c r="BE2" i="4"/>
  <c r="BE2" i="9"/>
  <c r="BE2" i="7"/>
  <c r="BB10" i="7"/>
  <c r="BA23" i="7"/>
  <c r="BA15" i="6"/>
  <c r="AZ20" i="6"/>
  <c r="BA30" i="6"/>
  <c r="BH20" i="7"/>
  <c r="BI7" i="7"/>
  <c r="BD15" i="4"/>
  <c r="BC11" i="4"/>
  <c r="BA18" i="7"/>
  <c r="BB5" i="7"/>
  <c r="BC20" i="4"/>
  <c r="BB9" i="7"/>
  <c r="BA22" i="7"/>
  <c r="BC25" i="7"/>
  <c r="BD12" i="7"/>
  <c r="BI18" i="3"/>
  <c r="G22" i="4" l="1"/>
  <c r="D29" i="3"/>
  <c r="D31" i="3" s="1"/>
  <c r="D32" i="3" s="1"/>
  <c r="D33" i="3" s="1"/>
  <c r="D34" i="3" s="1"/>
  <c r="D26" i="3" s="1"/>
  <c r="BE4" i="7"/>
  <c r="BD17" i="7"/>
  <c r="BG2" i="2"/>
  <c r="BF2" i="3"/>
  <c r="BF2" i="6"/>
  <c r="BF2" i="4"/>
  <c r="BF2" i="7"/>
  <c r="BF2" i="9"/>
  <c r="BC10" i="7"/>
  <c r="BB23" i="7"/>
  <c r="BA20" i="6"/>
  <c r="BB15" i="6"/>
  <c r="BI20" i="7"/>
  <c r="BJ7" i="7"/>
  <c r="BJ20" i="7" s="1"/>
  <c r="BC5" i="7"/>
  <c r="BB18" i="7"/>
  <c r="BB30" i="6"/>
  <c r="BJ18" i="3"/>
  <c r="BD20" i="4"/>
  <c r="BE12" i="7"/>
  <c r="BD25" i="7"/>
  <c r="BB22" i="7"/>
  <c r="BC9" i="7"/>
  <c r="BD11" i="4"/>
  <c r="BE15" i="4"/>
  <c r="D29" i="9" l="1"/>
  <c r="G25" i="6"/>
  <c r="G31" i="6"/>
  <c r="BH2" i="2"/>
  <c r="BG2" i="7"/>
  <c r="BG2" i="4"/>
  <c r="BG2" i="3"/>
  <c r="BG2" i="9"/>
  <c r="BG2" i="6"/>
  <c r="BC23" i="7"/>
  <c r="BD10" i="7"/>
  <c r="BE17" i="7"/>
  <c r="BF4" i="7"/>
  <c r="BB20" i="6"/>
  <c r="BC15" i="6"/>
  <c r="G18" i="10"/>
  <c r="BC22" i="7"/>
  <c r="BD9" i="7"/>
  <c r="BF15" i="4"/>
  <c r="BE20" i="4"/>
  <c r="BC30" i="6"/>
  <c r="BD5" i="7"/>
  <c r="BC18" i="7"/>
  <c r="BE11" i="4"/>
  <c r="BF12" i="7"/>
  <c r="BE25" i="7"/>
  <c r="BI2" i="2" l="1"/>
  <c r="BH2" i="7"/>
  <c r="BH2" i="6"/>
  <c r="BH2" i="4"/>
  <c r="BH2" i="9"/>
  <c r="BH2" i="3"/>
  <c r="BF17" i="7"/>
  <c r="BG4" i="7"/>
  <c r="BE10" i="7"/>
  <c r="BD23" i="7"/>
  <c r="BD15" i="6"/>
  <c r="BC20" i="6"/>
  <c r="BE9" i="7"/>
  <c r="BD22" i="7"/>
  <c r="BD18" i="7"/>
  <c r="BE5" i="7"/>
  <c r="BD30" i="6"/>
  <c r="BG15" i="4"/>
  <c r="BF25" i="7"/>
  <c r="BG12" i="7"/>
  <c r="BF11" i="4"/>
  <c r="BF20" i="4"/>
  <c r="BJ2" i="2" l="1"/>
  <c r="BI2" i="9"/>
  <c r="BI2" i="6"/>
  <c r="BI2" i="7"/>
  <c r="BI2" i="4"/>
  <c r="BI2" i="3"/>
  <c r="BE23" i="7"/>
  <c r="BF10" i="7"/>
  <c r="BG17" i="7"/>
  <c r="BH4" i="7"/>
  <c r="BD20" i="6"/>
  <c r="BE15" i="6"/>
  <c r="BG20" i="4"/>
  <c r="BH15" i="4"/>
  <c r="BE30" i="6"/>
  <c r="BG11" i="4"/>
  <c r="BE18" i="7"/>
  <c r="BF5" i="7"/>
  <c r="BG25" i="7"/>
  <c r="BH12" i="7"/>
  <c r="BF9" i="7"/>
  <c r="BE22" i="7"/>
  <c r="BJ2" i="3" l="1"/>
  <c r="BJ2" i="7"/>
  <c r="BJ2" i="4"/>
  <c r="BJ2" i="6"/>
  <c r="BJ2" i="9"/>
  <c r="BG10" i="7"/>
  <c r="BF23" i="7"/>
  <c r="BI4" i="7"/>
  <c r="BH17" i="7"/>
  <c r="BE20" i="6"/>
  <c r="BF15" i="6"/>
  <c r="BG5" i="7"/>
  <c r="BF18" i="7"/>
  <c r="BF22" i="7"/>
  <c r="BG9" i="7"/>
  <c r="BH25" i="7"/>
  <c r="BI12" i="7"/>
  <c r="BH11" i="4"/>
  <c r="BF30" i="6"/>
  <c r="BI15" i="4"/>
  <c r="BH20" i="4"/>
  <c r="BH10" i="7" l="1"/>
  <c r="BG23" i="7"/>
  <c r="BJ4" i="7"/>
  <c r="BJ17" i="7" s="1"/>
  <c r="BI17" i="7"/>
  <c r="BF20" i="6"/>
  <c r="BG15" i="6"/>
  <c r="BG30" i="6"/>
  <c r="BI11" i="4"/>
  <c r="BG22" i="7"/>
  <c r="BH9" i="7"/>
  <c r="BH5" i="7"/>
  <c r="BG18" i="7"/>
  <c r="BJ15" i="4"/>
  <c r="BJ12" i="7"/>
  <c r="BJ25" i="7" s="1"/>
  <c r="BI25" i="7"/>
  <c r="BI20" i="4"/>
  <c r="BI10" i="7" l="1"/>
  <c r="BH23" i="7"/>
  <c r="BG20" i="6"/>
  <c r="BH15" i="6"/>
  <c r="BH22" i="7"/>
  <c r="BI9" i="7"/>
  <c r="BH30" i="6"/>
  <c r="BH18" i="7"/>
  <c r="BI5" i="7"/>
  <c r="BJ20" i="4"/>
  <c r="BJ11" i="4"/>
  <c r="BI23" i="7" l="1"/>
  <c r="BJ10" i="7"/>
  <c r="BJ23" i="7" s="1"/>
  <c r="BI15" i="6"/>
  <c r="BH20" i="6"/>
  <c r="BJ9" i="7"/>
  <c r="BJ22" i="7" s="1"/>
  <c r="BI22" i="7"/>
  <c r="BI18" i="7"/>
  <c r="BJ5" i="7"/>
  <c r="BI30" i="6"/>
  <c r="BJ15" i="6" l="1"/>
  <c r="BJ20" i="6" s="1"/>
  <c r="BI20" i="6"/>
  <c r="BJ30" i="6"/>
  <c r="BJ18" i="7"/>
  <c r="E13" i="6"/>
  <c r="F3" i="6" l="1"/>
  <c r="F11" i="6" s="1"/>
  <c r="E19" i="6"/>
  <c r="E17" i="6"/>
  <c r="F13" i="6"/>
  <c r="F19" i="6" s="1"/>
  <c r="F17" i="6" l="1"/>
  <c r="G3" i="6"/>
  <c r="G11" i="6" s="1"/>
  <c r="G13" i="6" l="1"/>
  <c r="G19" i="6" s="1"/>
  <c r="G17" i="6" l="1"/>
  <c r="H19" i="4"/>
  <c r="H9" i="6" s="1"/>
  <c r="H3" i="6"/>
  <c r="H12" i="6" l="1"/>
  <c r="H22" i="4"/>
  <c r="H23" i="6"/>
  <c r="H25" i="6" s="1"/>
  <c r="H6" i="2" s="1"/>
  <c r="H13" i="6" l="1"/>
  <c r="H21" i="6" s="1"/>
  <c r="H5" i="2" s="1"/>
  <c r="E22" i="3"/>
  <c r="E23" i="3" s="1"/>
  <c r="H13" i="2"/>
  <c r="H28" i="6"/>
  <c r="H31" i="6" s="1"/>
  <c r="H7" i="2" s="1"/>
  <c r="H11" i="2"/>
  <c r="I19" i="4" l="1"/>
  <c r="I9" i="6" s="1"/>
  <c r="I10" i="6" s="1"/>
  <c r="H17" i="6"/>
  <c r="H4" i="2" s="1"/>
  <c r="H8" i="2" s="1"/>
  <c r="H5" i="3" s="1"/>
  <c r="H13" i="7"/>
  <c r="H14" i="7" s="1"/>
  <c r="I3" i="6"/>
  <c r="I12" i="6" s="1"/>
  <c r="F22" i="3"/>
  <c r="F23" i="3" s="1"/>
  <c r="E29" i="9"/>
  <c r="I23" i="6" l="1"/>
  <c r="I25" i="6" s="1"/>
  <c r="I6" i="2" s="1"/>
  <c r="I13" i="2" s="1"/>
  <c r="H6" i="3"/>
  <c r="H7" i="9"/>
  <c r="H12" i="2"/>
  <c r="H14" i="2" s="1"/>
  <c r="H26" i="7"/>
  <c r="H28" i="7" s="1"/>
  <c r="H29" i="7" s="1"/>
  <c r="H30" i="7" s="1"/>
  <c r="H26" i="2" s="1"/>
  <c r="I13" i="6"/>
  <c r="I21" i="6" s="1"/>
  <c r="I5" i="2" s="1"/>
  <c r="I22" i="4"/>
  <c r="I28" i="6" s="1"/>
  <c r="I31" i="6" s="1"/>
  <c r="I7" i="2" s="1"/>
  <c r="H27" i="2"/>
  <c r="H32" i="2"/>
  <c r="H31" i="2"/>
  <c r="H30" i="2"/>
  <c r="H28" i="2"/>
  <c r="H38" i="2"/>
  <c r="H6" i="9"/>
  <c r="H16" i="2" l="1"/>
  <c r="H23" i="2" s="1"/>
  <c r="H12" i="3"/>
  <c r="J3" i="6"/>
  <c r="J12" i="6" s="1"/>
  <c r="I17" i="6"/>
  <c r="I4" i="2" s="1"/>
  <c r="I12" i="2" s="1"/>
  <c r="I13" i="7"/>
  <c r="I26" i="7" s="1"/>
  <c r="I28" i="7" s="1"/>
  <c r="J19" i="4"/>
  <c r="J9" i="6" s="1"/>
  <c r="J10" i="6" s="1"/>
  <c r="I11" i="2"/>
  <c r="H33" i="2"/>
  <c r="H35" i="2" s="1"/>
  <c r="H19" i="3" s="1"/>
  <c r="H9" i="9"/>
  <c r="E25" i="3"/>
  <c r="E29" i="3"/>
  <c r="E31" i="3" s="1"/>
  <c r="H14" i="9"/>
  <c r="F29" i="9"/>
  <c r="G22" i="3"/>
  <c r="G23" i="3" s="1"/>
  <c r="J23" i="6" l="1"/>
  <c r="J25" i="6" s="1"/>
  <c r="J6" i="2" s="1"/>
  <c r="J13" i="2" s="1"/>
  <c r="J13" i="6"/>
  <c r="K19" i="4" s="1"/>
  <c r="K9" i="6" s="1"/>
  <c r="K10" i="6" s="1"/>
  <c r="I8" i="2"/>
  <c r="I6" i="3" s="1"/>
  <c r="J22" i="4"/>
  <c r="J28" i="6" s="1"/>
  <c r="J31" i="6" s="1"/>
  <c r="J7" i="2" s="1"/>
  <c r="I14" i="2"/>
  <c r="I14" i="7"/>
  <c r="I32" i="2" s="1"/>
  <c r="H37" i="2"/>
  <c r="H12" i="9"/>
  <c r="H20" i="3"/>
  <c r="I6" i="9"/>
  <c r="I29" i="7"/>
  <c r="I30" i="7" s="1"/>
  <c r="I26" i="2" s="1"/>
  <c r="F29" i="3"/>
  <c r="F31" i="3" s="1"/>
  <c r="F25" i="3"/>
  <c r="H13" i="9"/>
  <c r="H15" i="3"/>
  <c r="E32" i="3"/>
  <c r="E33" i="3" s="1"/>
  <c r="E34" i="3" s="1"/>
  <c r="J11" i="2" l="1"/>
  <c r="I31" i="2"/>
  <c r="I5" i="3"/>
  <c r="I7" i="9" s="1"/>
  <c r="I9" i="9" s="1"/>
  <c r="I16" i="2"/>
  <c r="I23" i="2" s="1"/>
  <c r="I38" i="2"/>
  <c r="I30" i="2"/>
  <c r="I28" i="2"/>
  <c r="I27" i="2"/>
  <c r="J13" i="7"/>
  <c r="J14" i="7" s="1"/>
  <c r="K3" i="6"/>
  <c r="K12" i="6" s="1"/>
  <c r="J21" i="6"/>
  <c r="J5" i="2" s="1"/>
  <c r="J17" i="6"/>
  <c r="J4" i="2" s="1"/>
  <c r="J12" i="2" s="1"/>
  <c r="J14" i="2" s="1"/>
  <c r="H3" i="9"/>
  <c r="G29" i="9"/>
  <c r="E26" i="3"/>
  <c r="K23" i="6"/>
  <c r="K25" i="6" s="1"/>
  <c r="K6" i="2" s="1"/>
  <c r="K22" i="4"/>
  <c r="G29" i="3"/>
  <c r="G31" i="3" s="1"/>
  <c r="G25" i="3"/>
  <c r="F32" i="3"/>
  <c r="F33" i="3" s="1"/>
  <c r="F34" i="3" s="1"/>
  <c r="H22" i="3"/>
  <c r="I14" i="9"/>
  <c r="H18" i="9"/>
  <c r="H20" i="9" s="1"/>
  <c r="I33" i="2" l="1"/>
  <c r="I12" i="3"/>
  <c r="I13" i="9" s="1"/>
  <c r="J26" i="7"/>
  <c r="J28" i="7" s="1"/>
  <c r="J29" i="7" s="1"/>
  <c r="J30" i="7" s="1"/>
  <c r="J26" i="2" s="1"/>
  <c r="J8" i="2"/>
  <c r="J6" i="3" s="1"/>
  <c r="K13" i="6"/>
  <c r="K21" i="6" s="1"/>
  <c r="K5" i="2" s="1"/>
  <c r="I12" i="9"/>
  <c r="I37" i="2"/>
  <c r="G32" i="3"/>
  <c r="G33" i="3" s="1"/>
  <c r="G34" i="3" s="1"/>
  <c r="J38" i="2"/>
  <c r="J32" i="2"/>
  <c r="J28" i="2"/>
  <c r="J30" i="2"/>
  <c r="J31" i="2"/>
  <c r="J27" i="2"/>
  <c r="I35" i="2"/>
  <c r="I19" i="3" s="1"/>
  <c r="K28" i="6"/>
  <c r="K31" i="6" s="1"/>
  <c r="K7" i="2" s="1"/>
  <c r="K11" i="2"/>
  <c r="F26" i="3"/>
  <c r="J16" i="2"/>
  <c r="J23" i="2" s="1"/>
  <c r="K13" i="2"/>
  <c r="H27" i="9"/>
  <c r="I15" i="3" l="1"/>
  <c r="J5" i="3"/>
  <c r="J7" i="9" s="1"/>
  <c r="J6" i="9"/>
  <c r="L19" i="4"/>
  <c r="L9" i="6" s="1"/>
  <c r="L10" i="6" s="1"/>
  <c r="K13" i="7"/>
  <c r="K26" i="7" s="1"/>
  <c r="K28" i="7" s="1"/>
  <c r="K17" i="6"/>
  <c r="K4" i="2" s="1"/>
  <c r="K12" i="2" s="1"/>
  <c r="K14" i="2" s="1"/>
  <c r="L3" i="6"/>
  <c r="L12" i="6" s="1"/>
  <c r="J33" i="2"/>
  <c r="J12" i="9" s="1"/>
  <c r="J12" i="3"/>
  <c r="J15" i="3" s="1"/>
  <c r="G26" i="3"/>
  <c r="H4" i="3"/>
  <c r="H9" i="3" s="1"/>
  <c r="H23" i="3" s="1"/>
  <c r="I3" i="9"/>
  <c r="H29" i="9"/>
  <c r="I20" i="3"/>
  <c r="J14" i="9"/>
  <c r="I18" i="9"/>
  <c r="I20" i="9" s="1"/>
  <c r="L23" i="6" l="1"/>
  <c r="L25" i="6" s="1"/>
  <c r="L6" i="2" s="1"/>
  <c r="L13" i="2" s="1"/>
  <c r="I22" i="3"/>
  <c r="J9" i="9"/>
  <c r="K14" i="7"/>
  <c r="K31" i="2" s="1"/>
  <c r="L22" i="4"/>
  <c r="L28" i="6" s="1"/>
  <c r="L31" i="6" s="1"/>
  <c r="L7" i="2" s="1"/>
  <c r="K8" i="2"/>
  <c r="K6" i="3" s="1"/>
  <c r="J35" i="2"/>
  <c r="J19" i="3" s="1"/>
  <c r="J20" i="3" s="1"/>
  <c r="J22" i="3" s="1"/>
  <c r="J37" i="2"/>
  <c r="L13" i="6"/>
  <c r="L17" i="6" s="1"/>
  <c r="L4" i="2" s="1"/>
  <c r="J13" i="9"/>
  <c r="J18" i="9" s="1"/>
  <c r="J20" i="9" s="1"/>
  <c r="I27" i="9"/>
  <c r="I29" i="9" s="1"/>
  <c r="K29" i="7"/>
  <c r="K30" i="7" s="1"/>
  <c r="K26" i="2" s="1"/>
  <c r="H25" i="3"/>
  <c r="H29" i="3"/>
  <c r="H31" i="3" s="1"/>
  <c r="L11" i="2" l="1"/>
  <c r="K5" i="3"/>
  <c r="K7" i="9" s="1"/>
  <c r="K30" i="2"/>
  <c r="K28" i="2"/>
  <c r="K32" i="2"/>
  <c r="K27" i="2"/>
  <c r="K38" i="2"/>
  <c r="K6" i="9"/>
  <c r="K16" i="2"/>
  <c r="K23" i="2" s="1"/>
  <c r="M19" i="4"/>
  <c r="M9" i="6" s="1"/>
  <c r="M10" i="6" s="1"/>
  <c r="L13" i="7"/>
  <c r="L26" i="7" s="1"/>
  <c r="L28" i="7" s="1"/>
  <c r="M3" i="6"/>
  <c r="M12" i="6" s="1"/>
  <c r="L21" i="6"/>
  <c r="L5" i="2" s="1"/>
  <c r="L8" i="2" s="1"/>
  <c r="L6" i="3" s="1"/>
  <c r="K14" i="9"/>
  <c r="H32" i="3"/>
  <c r="H33" i="3" s="1"/>
  <c r="H34" i="3" s="1"/>
  <c r="L12" i="2"/>
  <c r="L14" i="2" s="1"/>
  <c r="I4" i="3"/>
  <c r="I9" i="3" s="1"/>
  <c r="J3" i="9"/>
  <c r="J27" i="9" s="1"/>
  <c r="K33" i="2" l="1"/>
  <c r="K12" i="3"/>
  <c r="K13" i="9" s="1"/>
  <c r="M22" i="4"/>
  <c r="K9" i="9"/>
  <c r="K35" i="2"/>
  <c r="K19" i="3" s="1"/>
  <c r="M23" i="6"/>
  <c r="M25" i="6" s="1"/>
  <c r="M6" i="2" s="1"/>
  <c r="M13" i="2" s="1"/>
  <c r="M13" i="6"/>
  <c r="M17" i="6" s="1"/>
  <c r="M4" i="2" s="1"/>
  <c r="L14" i="7"/>
  <c r="L31" i="2" s="1"/>
  <c r="K20" i="3"/>
  <c r="H26" i="3"/>
  <c r="J4" i="3"/>
  <c r="J9" i="3" s="1"/>
  <c r="K3" i="9"/>
  <c r="J29" i="9"/>
  <c r="L29" i="7"/>
  <c r="L30" i="7" s="1"/>
  <c r="L26" i="2" s="1"/>
  <c r="L16" i="2"/>
  <c r="L23" i="2" s="1"/>
  <c r="L5" i="3"/>
  <c r="L6" i="9"/>
  <c r="I29" i="3"/>
  <c r="I31" i="3" s="1"/>
  <c r="I25" i="3"/>
  <c r="K37" i="2"/>
  <c r="K12" i="9"/>
  <c r="M28" i="6"/>
  <c r="M31" i="6" s="1"/>
  <c r="M7" i="2" s="1"/>
  <c r="M11" i="2"/>
  <c r="K15" i="3" l="1"/>
  <c r="K22" i="3" s="1"/>
  <c r="L32" i="2"/>
  <c r="L28" i="2"/>
  <c r="L27" i="2"/>
  <c r="L38" i="2"/>
  <c r="L30" i="2"/>
  <c r="M21" i="6"/>
  <c r="M5" i="2" s="1"/>
  <c r="M8" i="2" s="1"/>
  <c r="M6" i="3" s="1"/>
  <c r="N19" i="4"/>
  <c r="N9" i="6" s="1"/>
  <c r="N10" i="6" s="1"/>
  <c r="N3" i="6"/>
  <c r="N12" i="6" s="1"/>
  <c r="M13" i="7"/>
  <c r="M14" i="7" s="1"/>
  <c r="L14" i="9"/>
  <c r="J25" i="3"/>
  <c r="J29" i="3"/>
  <c r="J31" i="3" s="1"/>
  <c r="I32" i="3"/>
  <c r="I33" i="3" s="1"/>
  <c r="I34" i="3" s="1"/>
  <c r="K18" i="9"/>
  <c r="K20" i="9" s="1"/>
  <c r="K27" i="9" s="1"/>
  <c r="M12" i="2"/>
  <c r="M14" i="2" s="1"/>
  <c r="L7" i="9"/>
  <c r="L9" i="9" s="1"/>
  <c r="N22" i="4" l="1"/>
  <c r="L12" i="3"/>
  <c r="L13" i="9" s="1"/>
  <c r="L33" i="2"/>
  <c r="L37" i="2" s="1"/>
  <c r="N23" i="6"/>
  <c r="N25" i="6" s="1"/>
  <c r="N6" i="2" s="1"/>
  <c r="N13" i="2" s="1"/>
  <c r="C13" i="8" s="1"/>
  <c r="M26" i="7"/>
  <c r="M28" i="7" s="1"/>
  <c r="M29" i="7" s="1"/>
  <c r="M30" i="7" s="1"/>
  <c r="M26" i="2" s="1"/>
  <c r="N13" i="6"/>
  <c r="O19" i="4" s="1"/>
  <c r="O9" i="6" s="1"/>
  <c r="O10" i="6" s="1"/>
  <c r="I26" i="3"/>
  <c r="K29" i="9"/>
  <c r="M38" i="2"/>
  <c r="M31" i="2"/>
  <c r="M27" i="2"/>
  <c r="M30" i="2"/>
  <c r="M32" i="2"/>
  <c r="M28" i="2"/>
  <c r="N28" i="6"/>
  <c r="N31" i="6" s="1"/>
  <c r="N7" i="2" s="1"/>
  <c r="C7" i="8" s="1"/>
  <c r="N11" i="2"/>
  <c r="M16" i="2"/>
  <c r="M23" i="2" s="1"/>
  <c r="M6" i="9"/>
  <c r="M5" i="3"/>
  <c r="K4" i="3"/>
  <c r="K9" i="3" s="1"/>
  <c r="L3" i="9"/>
  <c r="J32" i="3"/>
  <c r="J33" i="3" s="1"/>
  <c r="J34" i="3" s="1"/>
  <c r="L35" i="2" l="1"/>
  <c r="L19" i="3" s="1"/>
  <c r="L20" i="3" s="1"/>
  <c r="C6" i="8"/>
  <c r="L12" i="9"/>
  <c r="L18" i="9" s="1"/>
  <c r="L20" i="9" s="1"/>
  <c r="L27" i="9" s="1"/>
  <c r="L4" i="3" s="1"/>
  <c r="L9" i="3" s="1"/>
  <c r="L15" i="3"/>
  <c r="N17" i="6"/>
  <c r="N4" i="2" s="1"/>
  <c r="N12" i="2" s="1"/>
  <c r="C12" i="8" s="1"/>
  <c r="N13" i="7"/>
  <c r="N26" i="7" s="1"/>
  <c r="N28" i="7" s="1"/>
  <c r="O3" i="6"/>
  <c r="O12" i="6" s="1"/>
  <c r="N21" i="6"/>
  <c r="N5" i="2" s="1"/>
  <c r="C5" i="8" s="1"/>
  <c r="M33" i="2"/>
  <c r="M12" i="9" s="1"/>
  <c r="M12" i="3"/>
  <c r="M13" i="9" s="1"/>
  <c r="J26" i="3"/>
  <c r="M7" i="9"/>
  <c r="M9" i="9" s="1"/>
  <c r="O23" i="6"/>
  <c r="O25" i="6" s="1"/>
  <c r="O6" i="2" s="1"/>
  <c r="O22" i="4"/>
  <c r="C11" i="8"/>
  <c r="K25" i="3"/>
  <c r="K29" i="3"/>
  <c r="K31" i="3" s="1"/>
  <c r="M14" i="9"/>
  <c r="N14" i="7" l="1"/>
  <c r="L22" i="3"/>
  <c r="C4" i="8"/>
  <c r="C8" i="8" s="1"/>
  <c r="M37" i="2"/>
  <c r="M35" i="2"/>
  <c r="M19" i="3" s="1"/>
  <c r="M20" i="3" s="1"/>
  <c r="N8" i="2"/>
  <c r="N6" i="3" s="1"/>
  <c r="M3" i="9"/>
  <c r="M15" i="3"/>
  <c r="L29" i="9"/>
  <c r="O13" i="6"/>
  <c r="P19" i="4" s="1"/>
  <c r="P9" i="6" s="1"/>
  <c r="P10" i="6" s="1"/>
  <c r="N29" i="7"/>
  <c r="N30" i="7" s="1"/>
  <c r="N26" i="2" s="1"/>
  <c r="N31" i="2"/>
  <c r="C31" i="8" s="1"/>
  <c r="N28" i="2"/>
  <c r="C28" i="8" s="1"/>
  <c r="N32" i="2"/>
  <c r="C32" i="8" s="1"/>
  <c r="N27" i="2"/>
  <c r="C27" i="8" s="1"/>
  <c r="N30" i="2"/>
  <c r="C30" i="8" s="1"/>
  <c r="N38" i="2"/>
  <c r="C35" i="8" s="1"/>
  <c r="K32" i="3"/>
  <c r="K33" i="3" s="1"/>
  <c r="K34" i="3" s="1"/>
  <c r="C14" i="8"/>
  <c r="O11" i="2"/>
  <c r="O28" i="6"/>
  <c r="O31" i="6" s="1"/>
  <c r="O7" i="2" s="1"/>
  <c r="N14" i="2"/>
  <c r="O13" i="2"/>
  <c r="M18" i="9"/>
  <c r="M20" i="9" s="1"/>
  <c r="L25" i="3"/>
  <c r="L29" i="3"/>
  <c r="L31" i="3" s="1"/>
  <c r="N5" i="3" l="1"/>
  <c r="C16" i="8"/>
  <c r="C23" i="8" s="1"/>
  <c r="N6" i="9"/>
  <c r="C6" i="11" s="1"/>
  <c r="N16" i="2"/>
  <c r="N23" i="2" s="1"/>
  <c r="M22" i="3"/>
  <c r="O17" i="6"/>
  <c r="O4" i="2" s="1"/>
  <c r="O12" i="2" s="1"/>
  <c r="O14" i="2" s="1"/>
  <c r="O21" i="6"/>
  <c r="O5" i="2" s="1"/>
  <c r="O13" i="7"/>
  <c r="O14" i="7" s="1"/>
  <c r="P3" i="6"/>
  <c r="P12" i="6" s="1"/>
  <c r="K26" i="3"/>
  <c r="M27" i="9"/>
  <c r="M29" i="9" s="1"/>
  <c r="N33" i="2"/>
  <c r="N35" i="2" s="1"/>
  <c r="N19" i="3" s="1"/>
  <c r="C26" i="8"/>
  <c r="C33" i="8" s="1"/>
  <c r="L32" i="3"/>
  <c r="L33" i="3" s="1"/>
  <c r="L34" i="3" s="1"/>
  <c r="C14" i="11"/>
  <c r="C6" i="10"/>
  <c r="N14" i="9"/>
  <c r="N12" i="3"/>
  <c r="C7" i="11"/>
  <c r="C5" i="10"/>
  <c r="N7" i="9"/>
  <c r="P22" i="4"/>
  <c r="P23" i="6"/>
  <c r="P25" i="6" s="1"/>
  <c r="P6" i="2" s="1"/>
  <c r="N9" i="9" l="1"/>
  <c r="C36" i="8"/>
  <c r="N37" i="2"/>
  <c r="O8" i="2"/>
  <c r="O6" i="3" s="1"/>
  <c r="N12" i="9"/>
  <c r="O26" i="7"/>
  <c r="O28" i="7" s="1"/>
  <c r="O29" i="7" s="1"/>
  <c r="O30" i="7" s="1"/>
  <c r="O26" i="2" s="1"/>
  <c r="P13" i="6"/>
  <c r="P13" i="7" s="1"/>
  <c r="C19" i="10"/>
  <c r="N20" i="3"/>
  <c r="L26" i="3"/>
  <c r="P28" i="6"/>
  <c r="P31" i="6" s="1"/>
  <c r="P7" i="2" s="1"/>
  <c r="P11" i="2"/>
  <c r="C13" i="11"/>
  <c r="N13" i="9"/>
  <c r="C12" i="10"/>
  <c r="N15" i="3"/>
  <c r="C15" i="10" s="1"/>
  <c r="C9" i="11"/>
  <c r="P13" i="2"/>
  <c r="O38" i="2"/>
  <c r="O32" i="2"/>
  <c r="O30" i="2"/>
  <c r="O31" i="2"/>
  <c r="O28" i="2"/>
  <c r="O27" i="2"/>
  <c r="M4" i="3"/>
  <c r="M9" i="3" s="1"/>
  <c r="N3" i="9"/>
  <c r="N18" i="9" l="1"/>
  <c r="N20" i="9" s="1"/>
  <c r="N27" i="9" s="1"/>
  <c r="N29" i="9" s="1"/>
  <c r="C12" i="11"/>
  <c r="C18" i="11" s="1"/>
  <c r="O5" i="3"/>
  <c r="O7" i="9" s="1"/>
  <c r="O6" i="9"/>
  <c r="O16" i="2"/>
  <c r="O23" i="2" s="1"/>
  <c r="P17" i="6"/>
  <c r="P4" i="2" s="1"/>
  <c r="P12" i="2" s="1"/>
  <c r="P14" i="2" s="1"/>
  <c r="Q19" i="4"/>
  <c r="Q9" i="6" s="1"/>
  <c r="Q10" i="6" s="1"/>
  <c r="O12" i="3"/>
  <c r="O13" i="9" s="1"/>
  <c r="Q3" i="6"/>
  <c r="Q12" i="6" s="1"/>
  <c r="P21" i="6"/>
  <c r="P5" i="2" s="1"/>
  <c r="P8" i="2" s="1"/>
  <c r="P6" i="3" s="1"/>
  <c r="O33" i="2"/>
  <c r="O14" i="9"/>
  <c r="C20" i="10"/>
  <c r="N22" i="3"/>
  <c r="C22" i="10" s="1"/>
  <c r="P14" i="7"/>
  <c r="P26" i="7"/>
  <c r="P28" i="7" s="1"/>
  <c r="M25" i="3"/>
  <c r="M29" i="3"/>
  <c r="M31" i="3" s="1"/>
  <c r="Q23" i="6" l="1"/>
  <c r="Q25" i="6" s="1"/>
  <c r="Q6" i="2" s="1"/>
  <c r="Q13" i="6"/>
  <c r="Q17" i="6" s="1"/>
  <c r="Q4" i="2" s="1"/>
  <c r="O9" i="9"/>
  <c r="Q22" i="4"/>
  <c r="Q28" i="6" s="1"/>
  <c r="Q31" i="6" s="1"/>
  <c r="Q7" i="2" s="1"/>
  <c r="O35" i="2"/>
  <c r="O19" i="3" s="1"/>
  <c r="O20" i="3" s="1"/>
  <c r="O15" i="3"/>
  <c r="M32" i="3"/>
  <c r="M33" i="3" s="1"/>
  <c r="M34" i="3" s="1"/>
  <c r="O37" i="2"/>
  <c r="O12" i="9"/>
  <c r="P29" i="7"/>
  <c r="P30" i="7" s="1"/>
  <c r="P26" i="2" s="1"/>
  <c r="Q13" i="2"/>
  <c r="C27" i="11"/>
  <c r="N4" i="3"/>
  <c r="O3" i="9"/>
  <c r="C29" i="11"/>
  <c r="P28" i="2"/>
  <c r="P38" i="2"/>
  <c r="P31" i="2"/>
  <c r="P32" i="2"/>
  <c r="P27" i="2"/>
  <c r="P30" i="2"/>
  <c r="P5" i="3"/>
  <c r="P6" i="9"/>
  <c r="P16" i="2"/>
  <c r="P23" i="2" s="1"/>
  <c r="Q11" i="2" l="1"/>
  <c r="R3" i="6"/>
  <c r="R12" i="6" s="1"/>
  <c r="O22" i="3"/>
  <c r="Q21" i="6"/>
  <c r="Q5" i="2" s="1"/>
  <c r="Q8" i="2" s="1"/>
  <c r="Q6" i="3" s="1"/>
  <c r="Q13" i="7"/>
  <c r="Q14" i="7" s="1"/>
  <c r="R19" i="4"/>
  <c r="R9" i="6" s="1"/>
  <c r="R10" i="6" s="1"/>
  <c r="C4" i="10"/>
  <c r="N9" i="3"/>
  <c r="P33" i="2"/>
  <c r="P35" i="2" s="1"/>
  <c r="P19" i="3" s="1"/>
  <c r="M26" i="3"/>
  <c r="Q12" i="2"/>
  <c r="P7" i="9"/>
  <c r="P9" i="9" s="1"/>
  <c r="P14" i="9"/>
  <c r="O18" i="9"/>
  <c r="O20" i="9" s="1"/>
  <c r="O27" i="9" s="1"/>
  <c r="P12" i="3"/>
  <c r="D3" i="11"/>
  <c r="R22" i="4" l="1"/>
  <c r="Q14" i="2"/>
  <c r="Q16" i="2" s="1"/>
  <c r="Q23" i="2" s="1"/>
  <c r="Q26" i="7"/>
  <c r="Q28" i="7" s="1"/>
  <c r="Q29" i="7" s="1"/>
  <c r="Q30" i="7" s="1"/>
  <c r="Q26" i="2" s="1"/>
  <c r="R13" i="6"/>
  <c r="R23" i="6"/>
  <c r="R25" i="6" s="1"/>
  <c r="R6" i="2" s="1"/>
  <c r="R13" i="2" s="1"/>
  <c r="Q28" i="2"/>
  <c r="Q38" i="2"/>
  <c r="Q30" i="2"/>
  <c r="Q32" i="2"/>
  <c r="Q27" i="2"/>
  <c r="Q31" i="2"/>
  <c r="O4" i="3"/>
  <c r="O9" i="3" s="1"/>
  <c r="P3" i="9"/>
  <c r="P20" i="3"/>
  <c r="P37" i="2"/>
  <c r="P12" i="9"/>
  <c r="C9" i="10"/>
  <c r="N29" i="3"/>
  <c r="N31" i="3" s="1"/>
  <c r="N25" i="3"/>
  <c r="P13" i="9"/>
  <c r="P15" i="3"/>
  <c r="O29" i="9"/>
  <c r="Q6" i="9"/>
  <c r="Q5" i="3"/>
  <c r="R28" i="6"/>
  <c r="R31" i="6" s="1"/>
  <c r="R7" i="2" s="1"/>
  <c r="R11" i="2"/>
  <c r="R17" i="6" l="1"/>
  <c r="R4" i="2" s="1"/>
  <c r="R12" i="2" s="1"/>
  <c r="R14" i="2" s="1"/>
  <c r="S3" i="6"/>
  <c r="S12" i="6" s="1"/>
  <c r="S19" i="4"/>
  <c r="S9" i="6" s="1"/>
  <c r="S10" i="6" s="1"/>
  <c r="R21" i="6"/>
  <c r="R5" i="2" s="1"/>
  <c r="R13" i="7"/>
  <c r="R14" i="7" s="1"/>
  <c r="Q12" i="3"/>
  <c r="Q15" i="3" s="1"/>
  <c r="Q33" i="2"/>
  <c r="Q35" i="2" s="1"/>
  <c r="Q19" i="3" s="1"/>
  <c r="N32" i="3"/>
  <c r="N33" i="3" s="1"/>
  <c r="N34" i="3" s="1"/>
  <c r="P22" i="3"/>
  <c r="Q14" i="9"/>
  <c r="Q7" i="9"/>
  <c r="Q9" i="9" s="1"/>
  <c r="P18" i="9"/>
  <c r="P20" i="9" s="1"/>
  <c r="O29" i="3"/>
  <c r="O31" i="3" s="1"/>
  <c r="O25" i="3"/>
  <c r="S22" i="4" l="1"/>
  <c r="S13" i="6"/>
  <c r="R8" i="2"/>
  <c r="R6" i="3" s="1"/>
  <c r="S23" i="6"/>
  <c r="S25" i="6" s="1"/>
  <c r="S6" i="2" s="1"/>
  <c r="S13" i="2" s="1"/>
  <c r="R26" i="7"/>
  <c r="R28" i="7" s="1"/>
  <c r="R29" i="7" s="1"/>
  <c r="R30" i="7" s="1"/>
  <c r="R26" i="2" s="1"/>
  <c r="Q13" i="9"/>
  <c r="N26" i="3"/>
  <c r="R32" i="2"/>
  <c r="R28" i="2"/>
  <c r="R31" i="2"/>
  <c r="R27" i="2"/>
  <c r="R30" i="2"/>
  <c r="R38" i="2"/>
  <c r="Q20" i="3"/>
  <c r="Q22" i="3" s="1"/>
  <c r="Q37" i="2"/>
  <c r="Q12" i="9"/>
  <c r="O32" i="3"/>
  <c r="O33" i="3" s="1"/>
  <c r="O34" i="3" s="1"/>
  <c r="S11" i="2"/>
  <c r="S28" i="6"/>
  <c r="S31" i="6" s="1"/>
  <c r="S7" i="2" s="1"/>
  <c r="R5" i="3"/>
  <c r="R16" i="2"/>
  <c r="R23" i="2" s="1"/>
  <c r="R6" i="9"/>
  <c r="P27" i="9"/>
  <c r="P29" i="9" s="1"/>
  <c r="S13" i="7" l="1"/>
  <c r="S26" i="7" s="1"/>
  <c r="S28" i="7" s="1"/>
  <c r="S21" i="6"/>
  <c r="S5" i="2" s="1"/>
  <c r="T19" i="4"/>
  <c r="T9" i="6" s="1"/>
  <c r="T10" i="6" s="1"/>
  <c r="S17" i="6"/>
  <c r="S4" i="2" s="1"/>
  <c r="S12" i="2" s="1"/>
  <c r="S14" i="2" s="1"/>
  <c r="T3" i="6"/>
  <c r="T12" i="6" s="1"/>
  <c r="R12" i="3"/>
  <c r="R15" i="3" s="1"/>
  <c r="O26" i="3"/>
  <c r="R33" i="2"/>
  <c r="R35" i="2" s="1"/>
  <c r="R19" i="3" s="1"/>
  <c r="P4" i="3"/>
  <c r="P9" i="3" s="1"/>
  <c r="Q3" i="9"/>
  <c r="R14" i="9"/>
  <c r="R7" i="9"/>
  <c r="R9" i="9" s="1"/>
  <c r="Q18" i="9"/>
  <c r="Q20" i="9" s="1"/>
  <c r="T22" i="4" l="1"/>
  <c r="T23" i="6"/>
  <c r="T25" i="6" s="1"/>
  <c r="T6" i="2" s="1"/>
  <c r="T13" i="2" s="1"/>
  <c r="S14" i="7"/>
  <c r="S31" i="2" s="1"/>
  <c r="T13" i="6"/>
  <c r="S8" i="2"/>
  <c r="S6" i="3" s="1"/>
  <c r="R13" i="9"/>
  <c r="R20" i="3"/>
  <c r="R22" i="3" s="1"/>
  <c r="T11" i="2"/>
  <c r="T28" i="6"/>
  <c r="T31" i="6" s="1"/>
  <c r="T7" i="2" s="1"/>
  <c r="S29" i="7"/>
  <c r="S30" i="7" s="1"/>
  <c r="S26" i="2" s="1"/>
  <c r="S27" i="2"/>
  <c r="Q27" i="9"/>
  <c r="Q29" i="9" s="1"/>
  <c r="P25" i="3"/>
  <c r="P29" i="3"/>
  <c r="P31" i="3" s="1"/>
  <c r="R37" i="2"/>
  <c r="R12" i="9"/>
  <c r="S38" i="2" l="1"/>
  <c r="S32" i="2"/>
  <c r="S28" i="2"/>
  <c r="S30" i="2"/>
  <c r="T13" i="7"/>
  <c r="T14" i="7" s="1"/>
  <c r="T21" i="6"/>
  <c r="T5" i="2" s="1"/>
  <c r="S5" i="3"/>
  <c r="S7" i="9" s="1"/>
  <c r="S6" i="9"/>
  <c r="S16" i="2"/>
  <c r="S23" i="2" s="1"/>
  <c r="U19" i="4"/>
  <c r="U9" i="6" s="1"/>
  <c r="U10" i="6" s="1"/>
  <c r="U3" i="6"/>
  <c r="U12" i="6" s="1"/>
  <c r="T17" i="6"/>
  <c r="T4" i="2" s="1"/>
  <c r="T12" i="2" s="1"/>
  <c r="T14" i="2" s="1"/>
  <c r="P32" i="3"/>
  <c r="P33" i="3" s="1"/>
  <c r="P34" i="3" s="1"/>
  <c r="S14" i="9"/>
  <c r="R18" i="9"/>
  <c r="R20" i="9" s="1"/>
  <c r="Q4" i="3"/>
  <c r="Q9" i="3" s="1"/>
  <c r="R3" i="9"/>
  <c r="S12" i="3" l="1"/>
  <c r="S15" i="3" s="1"/>
  <c r="U23" i="6"/>
  <c r="U25" i="6" s="1"/>
  <c r="U6" i="2" s="1"/>
  <c r="U13" i="2" s="1"/>
  <c r="S33" i="2"/>
  <c r="S37" i="2" s="1"/>
  <c r="T8" i="2"/>
  <c r="T6" i="3" s="1"/>
  <c r="U13" i="6"/>
  <c r="U21" i="6" s="1"/>
  <c r="U5" i="2" s="1"/>
  <c r="T26" i="7"/>
  <c r="T28" i="7" s="1"/>
  <c r="T29" i="7" s="1"/>
  <c r="T30" i="7" s="1"/>
  <c r="T26" i="2" s="1"/>
  <c r="S9" i="9"/>
  <c r="U22" i="4"/>
  <c r="U28" i="6" s="1"/>
  <c r="U31" i="6" s="1"/>
  <c r="U7" i="2" s="1"/>
  <c r="S13" i="9"/>
  <c r="R27" i="9"/>
  <c r="R4" i="3" s="1"/>
  <c r="R9" i="3" s="1"/>
  <c r="S12" i="9"/>
  <c r="P26" i="3"/>
  <c r="T27" i="2"/>
  <c r="T31" i="2"/>
  <c r="T28" i="2"/>
  <c r="T32" i="2"/>
  <c r="T38" i="2"/>
  <c r="T30" i="2"/>
  <c r="S35" i="2"/>
  <c r="S19" i="3" s="1"/>
  <c r="Q29" i="3"/>
  <c r="Q31" i="3" s="1"/>
  <c r="Q25" i="3"/>
  <c r="T16" i="2"/>
  <c r="T23" i="2" s="1"/>
  <c r="T6" i="9" l="1"/>
  <c r="U11" i="2"/>
  <c r="T5" i="3"/>
  <c r="T7" i="9" s="1"/>
  <c r="T9" i="9" s="1"/>
  <c r="V19" i="4"/>
  <c r="V9" i="6" s="1"/>
  <c r="V10" i="6" s="1"/>
  <c r="U13" i="7"/>
  <c r="U14" i="7" s="1"/>
  <c r="U17" i="6"/>
  <c r="U4" i="2" s="1"/>
  <c r="U8" i="2" s="1"/>
  <c r="U6" i="3" s="1"/>
  <c r="V3" i="6"/>
  <c r="V12" i="6" s="1"/>
  <c r="S3" i="9"/>
  <c r="R29" i="9"/>
  <c r="T12" i="3"/>
  <c r="T13" i="9" s="1"/>
  <c r="T33" i="2"/>
  <c r="T37" i="2" s="1"/>
  <c r="S18" i="9"/>
  <c r="S20" i="9" s="1"/>
  <c r="T14" i="9"/>
  <c r="S20" i="3"/>
  <c r="S22" i="3" s="1"/>
  <c r="R25" i="3"/>
  <c r="R29" i="3"/>
  <c r="R31" i="3" s="1"/>
  <c r="Q32" i="3"/>
  <c r="Q33" i="3" s="1"/>
  <c r="Q34" i="3" s="1"/>
  <c r="V22" i="4" l="1"/>
  <c r="V23" i="6"/>
  <c r="V25" i="6" s="1"/>
  <c r="V6" i="2" s="1"/>
  <c r="V13" i="2" s="1"/>
  <c r="U26" i="7"/>
  <c r="U28" i="7" s="1"/>
  <c r="U29" i="7" s="1"/>
  <c r="U30" i="7" s="1"/>
  <c r="U26" i="2" s="1"/>
  <c r="U12" i="2"/>
  <c r="U14" i="2" s="1"/>
  <c r="T35" i="2"/>
  <c r="T19" i="3" s="1"/>
  <c r="T20" i="3" s="1"/>
  <c r="V13" i="6"/>
  <c r="V17" i="6" s="1"/>
  <c r="V4" i="2" s="1"/>
  <c r="T12" i="9"/>
  <c r="T18" i="9" s="1"/>
  <c r="T20" i="9" s="1"/>
  <c r="T15" i="3"/>
  <c r="V28" i="6"/>
  <c r="V31" i="6" s="1"/>
  <c r="V7" i="2" s="1"/>
  <c r="V11" i="2"/>
  <c r="U32" i="2"/>
  <c r="U38" i="2"/>
  <c r="U27" i="2"/>
  <c r="U28" i="2"/>
  <c r="U31" i="2"/>
  <c r="U30" i="2"/>
  <c r="Q26" i="3"/>
  <c r="R32" i="3"/>
  <c r="R33" i="3" s="1"/>
  <c r="R34" i="3" s="1"/>
  <c r="S27" i="9"/>
  <c r="S29" i="9" s="1"/>
  <c r="U5" i="3"/>
  <c r="U16" i="2"/>
  <c r="U23" i="2" s="1"/>
  <c r="U6" i="9"/>
  <c r="V13" i="7" l="1"/>
  <c r="V14" i="7" s="1"/>
  <c r="W19" i="4"/>
  <c r="W9" i="6" s="1"/>
  <c r="W10" i="6" s="1"/>
  <c r="U12" i="3"/>
  <c r="U15" i="3" s="1"/>
  <c r="V21" i="6"/>
  <c r="V5" i="2" s="1"/>
  <c r="V8" i="2" s="1"/>
  <c r="V6" i="3" s="1"/>
  <c r="W3" i="6"/>
  <c r="W12" i="6" s="1"/>
  <c r="T22" i="3"/>
  <c r="U33" i="2"/>
  <c r="U37" i="2" s="1"/>
  <c r="R26" i="3"/>
  <c r="U14" i="9"/>
  <c r="V12" i="2"/>
  <c r="V14" i="2" s="1"/>
  <c r="S4" i="3"/>
  <c r="S9" i="3" s="1"/>
  <c r="T3" i="9"/>
  <c r="T27" i="9" s="1"/>
  <c r="T29" i="9" s="1"/>
  <c r="U7" i="9"/>
  <c r="U9" i="9" s="1"/>
  <c r="W22" i="4" l="1"/>
  <c r="W23" i="6"/>
  <c r="W25" i="6" s="1"/>
  <c r="W6" i="2" s="1"/>
  <c r="W13" i="2" s="1"/>
  <c r="V26" i="7"/>
  <c r="V28" i="7" s="1"/>
  <c r="V29" i="7" s="1"/>
  <c r="V30" i="7" s="1"/>
  <c r="V26" i="2" s="1"/>
  <c r="W13" i="6"/>
  <c r="U13" i="9"/>
  <c r="U35" i="2"/>
  <c r="U19" i="3" s="1"/>
  <c r="U20" i="3" s="1"/>
  <c r="U22" i="3" s="1"/>
  <c r="U12" i="9"/>
  <c r="W28" i="6"/>
  <c r="W31" i="6" s="1"/>
  <c r="W7" i="2" s="1"/>
  <c r="W11" i="2"/>
  <c r="V5" i="3"/>
  <c r="V16" i="2"/>
  <c r="V23" i="2" s="1"/>
  <c r="V6" i="9"/>
  <c r="S25" i="3"/>
  <c r="S29" i="3"/>
  <c r="S31" i="3" s="1"/>
  <c r="V32" i="2"/>
  <c r="V31" i="2"/>
  <c r="V28" i="2"/>
  <c r="V27" i="2"/>
  <c r="V30" i="2"/>
  <c r="V38" i="2"/>
  <c r="T4" i="3"/>
  <c r="T9" i="3" s="1"/>
  <c r="U3" i="9"/>
  <c r="W13" i="7" l="1"/>
  <c r="W14" i="7" s="1"/>
  <c r="U18" i="9"/>
  <c r="U20" i="9" s="1"/>
  <c r="U27" i="9" s="1"/>
  <c r="X19" i="4"/>
  <c r="X9" i="6" s="1"/>
  <c r="X10" i="6" s="1"/>
  <c r="X3" i="6"/>
  <c r="X12" i="6" s="1"/>
  <c r="W17" i="6"/>
  <c r="W4" i="2" s="1"/>
  <c r="W12" i="2" s="1"/>
  <c r="W14" i="2" s="1"/>
  <c r="W21" i="6"/>
  <c r="W5" i="2" s="1"/>
  <c r="V12" i="3"/>
  <c r="V13" i="9" s="1"/>
  <c r="V33" i="2"/>
  <c r="V35" i="2" s="1"/>
  <c r="V19" i="3" s="1"/>
  <c r="V7" i="9"/>
  <c r="V9" i="9" s="1"/>
  <c r="T29" i="3"/>
  <c r="T31" i="3" s="1"/>
  <c r="T25" i="3"/>
  <c r="S32" i="3"/>
  <c r="S33" i="3" s="1"/>
  <c r="S34" i="3" s="1"/>
  <c r="V14" i="9"/>
  <c r="X22" i="4" l="1"/>
  <c r="W26" i="7"/>
  <c r="W28" i="7" s="1"/>
  <c r="W8" i="2"/>
  <c r="W6" i="3" s="1"/>
  <c r="X23" i="6"/>
  <c r="X25" i="6" s="1"/>
  <c r="X6" i="2" s="1"/>
  <c r="X13" i="2" s="1"/>
  <c r="X13" i="6"/>
  <c r="V15" i="3"/>
  <c r="W29" i="7"/>
  <c r="W30" i="7" s="1"/>
  <c r="W26" i="2" s="1"/>
  <c r="S26" i="3"/>
  <c r="W32" i="2"/>
  <c r="W27" i="2"/>
  <c r="W31" i="2"/>
  <c r="W38" i="2"/>
  <c r="W28" i="2"/>
  <c r="W30" i="2"/>
  <c r="V20" i="3"/>
  <c r="U4" i="3"/>
  <c r="U9" i="3" s="1"/>
  <c r="V3" i="9"/>
  <c r="T32" i="3"/>
  <c r="T33" i="3" s="1"/>
  <c r="T34" i="3" s="1"/>
  <c r="V37" i="2"/>
  <c r="V12" i="9"/>
  <c r="V18" i="9" s="1"/>
  <c r="V20" i="9" s="1"/>
  <c r="X11" i="2"/>
  <c r="X28" i="6"/>
  <c r="X31" i="6" s="1"/>
  <c r="X7" i="2" s="1"/>
  <c r="U29" i="9"/>
  <c r="W5" i="3" l="1"/>
  <c r="W16" i="2"/>
  <c r="W23" i="2" s="1"/>
  <c r="W6" i="9"/>
  <c r="Y19" i="4"/>
  <c r="Y9" i="6" s="1"/>
  <c r="Y10" i="6" s="1"/>
  <c r="X21" i="6"/>
  <c r="X5" i="2" s="1"/>
  <c r="X13" i="7"/>
  <c r="X26" i="7" s="1"/>
  <c r="X28" i="7" s="1"/>
  <c r="X17" i="6"/>
  <c r="X4" i="2" s="1"/>
  <c r="X12" i="2" s="1"/>
  <c r="X14" i="2" s="1"/>
  <c r="Y3" i="6"/>
  <c r="Y12" i="6" s="1"/>
  <c r="W12" i="3"/>
  <c r="W13" i="9" s="1"/>
  <c r="V22" i="3"/>
  <c r="T26" i="3"/>
  <c r="U29" i="3"/>
  <c r="U31" i="3" s="1"/>
  <c r="U25" i="3"/>
  <c r="W14" i="9"/>
  <c r="W33" i="2"/>
  <c r="V27" i="9"/>
  <c r="W7" i="9"/>
  <c r="Y22" i="4" l="1"/>
  <c r="W9" i="9"/>
  <c r="X14" i="7"/>
  <c r="X30" i="2" s="1"/>
  <c r="Y23" i="6"/>
  <c r="Y25" i="6" s="1"/>
  <c r="Y6" i="2" s="1"/>
  <c r="Y13" i="2" s="1"/>
  <c r="X8" i="2"/>
  <c r="X6" i="3" s="1"/>
  <c r="Y13" i="6"/>
  <c r="Z19" i="4" s="1"/>
  <c r="Z9" i="6" s="1"/>
  <c r="Z10" i="6" s="1"/>
  <c r="W15" i="3"/>
  <c r="X29" i="7"/>
  <c r="X30" i="7" s="1"/>
  <c r="X26" i="2" s="1"/>
  <c r="W37" i="2"/>
  <c r="W12" i="9"/>
  <c r="W18" i="9" s="1"/>
  <c r="X27" i="2"/>
  <c r="Y28" i="6"/>
  <c r="Y31" i="6" s="1"/>
  <c r="Y7" i="2" s="1"/>
  <c r="Y11" i="2"/>
  <c r="W35" i="2"/>
  <c r="W19" i="3" s="1"/>
  <c r="U32" i="3"/>
  <c r="U33" i="3" s="1"/>
  <c r="U34" i="3" s="1"/>
  <c r="V4" i="3"/>
  <c r="V9" i="3" s="1"/>
  <c r="W3" i="9"/>
  <c r="V29" i="9"/>
  <c r="X32" i="2" l="1"/>
  <c r="X38" i="2"/>
  <c r="X28" i="2"/>
  <c r="X31" i="2"/>
  <c r="W20" i="9"/>
  <c r="W27" i="9" s="1"/>
  <c r="W4" i="3" s="1"/>
  <c r="W9" i="3" s="1"/>
  <c r="Y21" i="6"/>
  <c r="Y5" i="2" s="1"/>
  <c r="X6" i="9"/>
  <c r="X16" i="2"/>
  <c r="X23" i="2" s="1"/>
  <c r="X5" i="3"/>
  <c r="X7" i="9" s="1"/>
  <c r="Y17" i="6"/>
  <c r="Y4" i="2" s="1"/>
  <c r="Y8" i="2" s="1"/>
  <c r="Y6" i="3" s="1"/>
  <c r="Z3" i="6"/>
  <c r="Z12" i="6" s="1"/>
  <c r="Y13" i="7"/>
  <c r="Y26" i="7" s="1"/>
  <c r="Y28" i="7" s="1"/>
  <c r="U26" i="3"/>
  <c r="V29" i="3"/>
  <c r="V31" i="3" s="1"/>
  <c r="V25" i="3"/>
  <c r="Z23" i="6"/>
  <c r="Z25" i="6" s="1"/>
  <c r="Z6" i="2" s="1"/>
  <c r="Z22" i="4"/>
  <c r="W20" i="3"/>
  <c r="W22" i="3" s="1"/>
  <c r="X14" i="9"/>
  <c r="X12" i="3" l="1"/>
  <c r="X15" i="3" s="1"/>
  <c r="Y12" i="2"/>
  <c r="Y14" i="2" s="1"/>
  <c r="X33" i="2"/>
  <c r="X35" i="2" s="1"/>
  <c r="X19" i="3" s="1"/>
  <c r="X20" i="3" s="1"/>
  <c r="X22" i="3" s="1"/>
  <c r="Y14" i="7"/>
  <c r="Y28" i="2" s="1"/>
  <c r="X9" i="9"/>
  <c r="X13" i="9"/>
  <c r="W29" i="9"/>
  <c r="X3" i="9"/>
  <c r="Z13" i="6"/>
  <c r="Z17" i="6" s="1"/>
  <c r="Z4" i="2" s="1"/>
  <c r="Y29" i="7"/>
  <c r="Y30" i="7" s="1"/>
  <c r="Y26" i="2" s="1"/>
  <c r="Y5" i="3"/>
  <c r="Y16" i="2"/>
  <c r="Y23" i="2" s="1"/>
  <c r="Y6" i="9"/>
  <c r="Z11" i="2"/>
  <c r="Z28" i="6"/>
  <c r="Z31" i="6" s="1"/>
  <c r="Z7" i="2" s="1"/>
  <c r="D7" i="8" s="1"/>
  <c r="V32" i="3"/>
  <c r="V33" i="3" s="1"/>
  <c r="V34" i="3" s="1"/>
  <c r="Z13" i="2"/>
  <c r="D13" i="8" s="1"/>
  <c r="D6" i="8"/>
  <c r="X37" i="2"/>
  <c r="X12" i="9"/>
  <c r="W29" i="3"/>
  <c r="W31" i="3" s="1"/>
  <c r="W25" i="3"/>
  <c r="Y38" i="2" l="1"/>
  <c r="Y32" i="2"/>
  <c r="Y31" i="2"/>
  <c r="Y30" i="2"/>
  <c r="Y27" i="2"/>
  <c r="X18" i="9"/>
  <c r="X20" i="9" s="1"/>
  <c r="X27" i="9" s="1"/>
  <c r="AA3" i="6"/>
  <c r="AA12" i="6" s="1"/>
  <c r="AA19" i="4"/>
  <c r="AA9" i="6" s="1"/>
  <c r="AA10" i="6" s="1"/>
  <c r="Z21" i="6"/>
  <c r="Z5" i="2" s="1"/>
  <c r="D5" i="8" s="1"/>
  <c r="Y33" i="2"/>
  <c r="Y12" i="9" s="1"/>
  <c r="Z13" i="7"/>
  <c r="Z26" i="7" s="1"/>
  <c r="Z28" i="7" s="1"/>
  <c r="Y12" i="3"/>
  <c r="Y15" i="3" s="1"/>
  <c r="Y7" i="9"/>
  <c r="Y9" i="9" s="1"/>
  <c r="Z12" i="2"/>
  <c r="D12" i="8" s="1"/>
  <c r="D4" i="8"/>
  <c r="W32" i="3"/>
  <c r="W33" i="3" s="1"/>
  <c r="W34" i="3" s="1"/>
  <c r="D11" i="8"/>
  <c r="V26" i="3"/>
  <c r="Y14" i="9"/>
  <c r="AA22" i="4" l="1"/>
  <c r="Y37" i="2"/>
  <c r="Z8" i="2"/>
  <c r="Z6" i="3" s="1"/>
  <c r="AA23" i="6"/>
  <c r="AA25" i="6" s="1"/>
  <c r="AA6" i="2" s="1"/>
  <c r="AA13" i="2" s="1"/>
  <c r="AA13" i="6"/>
  <c r="D8" i="8"/>
  <c r="Y35" i="2"/>
  <c r="Y19" i="3" s="1"/>
  <c r="Y20" i="3" s="1"/>
  <c r="Y22" i="3" s="1"/>
  <c r="Z14" i="7"/>
  <c r="Z32" i="2" s="1"/>
  <c r="D32" i="8" s="1"/>
  <c r="Y13" i="9"/>
  <c r="Y18" i="9" s="1"/>
  <c r="Y20" i="9" s="1"/>
  <c r="W26" i="3"/>
  <c r="Z29" i="7"/>
  <c r="Z30" i="7" s="1"/>
  <c r="Z26" i="2" s="1"/>
  <c r="D14" i="8"/>
  <c r="X4" i="3"/>
  <c r="X9" i="3" s="1"/>
  <c r="Y3" i="9"/>
  <c r="Z14" i="2"/>
  <c r="AA11" i="2"/>
  <c r="AA28" i="6"/>
  <c r="AA31" i="6" s="1"/>
  <c r="AA7" i="2" s="1"/>
  <c r="X29" i="9"/>
  <c r="Z16" i="2" l="1"/>
  <c r="Z23" i="2" s="1"/>
  <c r="Z6" i="9"/>
  <c r="D16" i="8"/>
  <c r="D23" i="8" s="1"/>
  <c r="Z5" i="3"/>
  <c r="D7" i="11" s="1"/>
  <c r="AB3" i="6"/>
  <c r="AB12" i="6" s="1"/>
  <c r="AA17" i="6"/>
  <c r="AA4" i="2" s="1"/>
  <c r="AA13" i="7"/>
  <c r="AA26" i="7" s="1"/>
  <c r="AA28" i="7" s="1"/>
  <c r="AB19" i="4"/>
  <c r="AB9" i="6" s="1"/>
  <c r="AB10" i="6" s="1"/>
  <c r="AA21" i="6"/>
  <c r="AA5" i="2" s="1"/>
  <c r="Z27" i="2"/>
  <c r="D27" i="8" s="1"/>
  <c r="Z30" i="2"/>
  <c r="D30" i="8" s="1"/>
  <c r="Z38" i="2"/>
  <c r="D35" i="8" s="1"/>
  <c r="Z31" i="2"/>
  <c r="D31" i="8" s="1"/>
  <c r="Z28" i="2"/>
  <c r="D28" i="8" s="1"/>
  <c r="Y27" i="9"/>
  <c r="Y4" i="3" s="1"/>
  <c r="Y9" i="3" s="1"/>
  <c r="D26" i="8"/>
  <c r="D6" i="10"/>
  <c r="D14" i="11"/>
  <c r="Z14" i="9"/>
  <c r="X29" i="3"/>
  <c r="X31" i="3" s="1"/>
  <c r="X25" i="3"/>
  <c r="D6" i="11"/>
  <c r="AA12" i="2"/>
  <c r="AA14" i="2" s="1"/>
  <c r="AB22" i="4" l="1"/>
  <c r="AA8" i="2"/>
  <c r="AA6" i="3" s="1"/>
  <c r="D5" i="10"/>
  <c r="Z7" i="9"/>
  <c r="Z9" i="9" s="1"/>
  <c r="AA14" i="7"/>
  <c r="AA38" i="2" s="1"/>
  <c r="AB23" i="6"/>
  <c r="AB25" i="6" s="1"/>
  <c r="AB6" i="2" s="1"/>
  <c r="AB13" i="2" s="1"/>
  <c r="AB13" i="6"/>
  <c r="AB21" i="6" s="1"/>
  <c r="AB5" i="2" s="1"/>
  <c r="Z12" i="3"/>
  <c r="Z15" i="3" s="1"/>
  <c r="D15" i="10" s="1"/>
  <c r="D33" i="8"/>
  <c r="D36" i="8" s="1"/>
  <c r="Z33" i="2"/>
  <c r="Z3" i="9"/>
  <c r="Y29" i="9"/>
  <c r="D9" i="11"/>
  <c r="Y29" i="3"/>
  <c r="Y31" i="3" s="1"/>
  <c r="Y25" i="3"/>
  <c r="AA29" i="7"/>
  <c r="AA30" i="7" s="1"/>
  <c r="AA26" i="2" s="1"/>
  <c r="AB28" i="6"/>
  <c r="AB31" i="6" s="1"/>
  <c r="AB7" i="2" s="1"/>
  <c r="AB11" i="2"/>
  <c r="X32" i="3"/>
  <c r="X33" i="3" s="1"/>
  <c r="X34" i="3" s="1"/>
  <c r="AA5" i="3" l="1"/>
  <c r="AA7" i="9" s="1"/>
  <c r="AA30" i="2"/>
  <c r="AA6" i="9"/>
  <c r="AA16" i="2"/>
  <c r="AA23" i="2" s="1"/>
  <c r="AA32" i="2"/>
  <c r="AA31" i="2"/>
  <c r="AA27" i="2"/>
  <c r="AA28" i="2"/>
  <c r="Z13" i="9"/>
  <c r="D12" i="10"/>
  <c r="D13" i="11"/>
  <c r="AC3" i="6"/>
  <c r="AC12" i="6" s="1"/>
  <c r="Z35" i="2"/>
  <c r="Z19" i="3" s="1"/>
  <c r="Z37" i="2"/>
  <c r="Z12" i="9"/>
  <c r="D12" i="11" s="1"/>
  <c r="AB13" i="7"/>
  <c r="AB14" i="7" s="1"/>
  <c r="AC19" i="4"/>
  <c r="AC9" i="6" s="1"/>
  <c r="AC10" i="6" s="1"/>
  <c r="AB17" i="6"/>
  <c r="AB4" i="2" s="1"/>
  <c r="AB12" i="2" s="1"/>
  <c r="X26" i="3"/>
  <c r="AA14" i="9"/>
  <c r="Y32" i="3"/>
  <c r="Y33" i="3" s="1"/>
  <c r="Y34" i="3" s="1"/>
  <c r="D18" i="11" l="1"/>
  <c r="AA9" i="9"/>
  <c r="AA33" i="2"/>
  <c r="AA35" i="2" s="1"/>
  <c r="AA19" i="3" s="1"/>
  <c r="AA20" i="3" s="1"/>
  <c r="AA12" i="3"/>
  <c r="AA13" i="9" s="1"/>
  <c r="AC22" i="4"/>
  <c r="AC28" i="6" s="1"/>
  <c r="AC31" i="6" s="1"/>
  <c r="AC7" i="2" s="1"/>
  <c r="AC23" i="6"/>
  <c r="AC25" i="6" s="1"/>
  <c r="AC6" i="2" s="1"/>
  <c r="AC13" i="2" s="1"/>
  <c r="AB26" i="7"/>
  <c r="AB28" i="7" s="1"/>
  <c r="AB29" i="7" s="1"/>
  <c r="AB30" i="7" s="1"/>
  <c r="AB26" i="2" s="1"/>
  <c r="Z18" i="9"/>
  <c r="Z20" i="9" s="1"/>
  <c r="Z27" i="9" s="1"/>
  <c r="D27" i="11" s="1"/>
  <c r="D19" i="10"/>
  <c r="Z20" i="3"/>
  <c r="AC13" i="6"/>
  <c r="AC17" i="6" s="1"/>
  <c r="AC4" i="2" s="1"/>
  <c r="AB8" i="2"/>
  <c r="AB6" i="3" s="1"/>
  <c r="Y26" i="3"/>
  <c r="AB14" i="2"/>
  <c r="AB32" i="2"/>
  <c r="AB27" i="2"/>
  <c r="AB30" i="2"/>
  <c r="AB38" i="2"/>
  <c r="AB28" i="2"/>
  <c r="AB31" i="2"/>
  <c r="AA37" i="2" l="1"/>
  <c r="AA15" i="3"/>
  <c r="AA12" i="9"/>
  <c r="AD19" i="4"/>
  <c r="AD9" i="6" s="1"/>
  <c r="AD10" i="6" s="1"/>
  <c r="D29" i="11"/>
  <c r="Z4" i="3"/>
  <c r="Z9" i="3" s="1"/>
  <c r="AD3" i="6"/>
  <c r="AD12" i="6" s="1"/>
  <c r="AC11" i="2"/>
  <c r="AC21" i="6"/>
  <c r="AC5" i="2" s="1"/>
  <c r="AC8" i="2" s="1"/>
  <c r="AC6" i="3" s="1"/>
  <c r="AC13" i="7"/>
  <c r="AC14" i="7" s="1"/>
  <c r="Z29" i="9"/>
  <c r="AA3" i="9"/>
  <c r="E3" i="11" s="1"/>
  <c r="Z22" i="3"/>
  <c r="D22" i="10" s="1"/>
  <c r="D20" i="10"/>
  <c r="AB5" i="3"/>
  <c r="AB7" i="9" s="1"/>
  <c r="AB6" i="9"/>
  <c r="AA22" i="3"/>
  <c r="AB33" i="2"/>
  <c r="AB37" i="2" s="1"/>
  <c r="AA18" i="9"/>
  <c r="AA20" i="9" s="1"/>
  <c r="AB12" i="3"/>
  <c r="AB14" i="9"/>
  <c r="AD23" i="6"/>
  <c r="AD25" i="6" s="1"/>
  <c r="AD6" i="2" s="1"/>
  <c r="AD22" i="4"/>
  <c r="AB16" i="2"/>
  <c r="AB23" i="2" s="1"/>
  <c r="AC12" i="2"/>
  <c r="AB35" i="2" l="1"/>
  <c r="AB19" i="3" s="1"/>
  <c r="AB20" i="3" s="1"/>
  <c r="AC26" i="7"/>
  <c r="AC28" i="7" s="1"/>
  <c r="AC29" i="7" s="1"/>
  <c r="AC30" i="7" s="1"/>
  <c r="AC26" i="2" s="1"/>
  <c r="D4" i="10"/>
  <c r="AC14" i="2"/>
  <c r="AC16" i="2" s="1"/>
  <c r="AC23" i="2" s="1"/>
  <c r="AA27" i="9"/>
  <c r="AA4" i="3" s="1"/>
  <c r="AA9" i="3" s="1"/>
  <c r="AB9" i="9"/>
  <c r="AD13" i="6"/>
  <c r="AD21" i="6" s="1"/>
  <c r="AD5" i="2" s="1"/>
  <c r="AD11" i="2"/>
  <c r="AD28" i="6"/>
  <c r="AD31" i="6" s="1"/>
  <c r="AD7" i="2" s="1"/>
  <c r="AC5" i="3"/>
  <c r="AC6" i="9"/>
  <c r="AD13" i="2"/>
  <c r="AB12" i="9"/>
  <c r="D9" i="10"/>
  <c r="Z29" i="3"/>
  <c r="Z31" i="3" s="1"/>
  <c r="Z25" i="3"/>
  <c r="AC28" i="2"/>
  <c r="AC32" i="2"/>
  <c r="AC30" i="2"/>
  <c r="AC31" i="2"/>
  <c r="AC38" i="2"/>
  <c r="AC27" i="2"/>
  <c r="AB15" i="3"/>
  <c r="AB13" i="9"/>
  <c r="AA29" i="9" l="1"/>
  <c r="AB3" i="9"/>
  <c r="AE19" i="4"/>
  <c r="AE9" i="6" s="1"/>
  <c r="AE10" i="6" s="1"/>
  <c r="AD13" i="7"/>
  <c r="AD14" i="7" s="1"/>
  <c r="AD17" i="6"/>
  <c r="AD4" i="2" s="1"/>
  <c r="AD12" i="2" s="1"/>
  <c r="AD14" i="2" s="1"/>
  <c r="AE3" i="6"/>
  <c r="AE12" i="6" s="1"/>
  <c r="AC12" i="3"/>
  <c r="AC13" i="9" s="1"/>
  <c r="AA29" i="3"/>
  <c r="AA31" i="3" s="1"/>
  <c r="AA25" i="3"/>
  <c r="AC7" i="9"/>
  <c r="AC9" i="9" s="1"/>
  <c r="Z32" i="3"/>
  <c r="Z33" i="3" s="1"/>
  <c r="Z34" i="3" s="1"/>
  <c r="AB18" i="9"/>
  <c r="AB20" i="9" s="1"/>
  <c r="AC33" i="2"/>
  <c r="AB22" i="3"/>
  <c r="AC14" i="9"/>
  <c r="AE23" i="6" l="1"/>
  <c r="AE25" i="6" s="1"/>
  <c r="AE6" i="2" s="1"/>
  <c r="AE13" i="2" s="1"/>
  <c r="AB27" i="9"/>
  <c r="AC3" i="9" s="1"/>
  <c r="AC15" i="3"/>
  <c r="AD26" i="7"/>
  <c r="AD28" i="7" s="1"/>
  <c r="AD29" i="7" s="1"/>
  <c r="AD30" i="7" s="1"/>
  <c r="AD26" i="2" s="1"/>
  <c r="AE22" i="4"/>
  <c r="AE11" i="2" s="1"/>
  <c r="AD8" i="2"/>
  <c r="AD6" i="3" s="1"/>
  <c r="AE13" i="6"/>
  <c r="AF19" i="4" s="1"/>
  <c r="AF9" i="6" s="1"/>
  <c r="AF10" i="6" s="1"/>
  <c r="AD30" i="2"/>
  <c r="AD27" i="2"/>
  <c r="AD28" i="2"/>
  <c r="AD31" i="2"/>
  <c r="AD32" i="2"/>
  <c r="AD38" i="2"/>
  <c r="AA32" i="3"/>
  <c r="AA33" i="3" s="1"/>
  <c r="AA34" i="3" s="1"/>
  <c r="Z26" i="3"/>
  <c r="AC37" i="2"/>
  <c r="AC12" i="9"/>
  <c r="AC35" i="2"/>
  <c r="AC19" i="3" s="1"/>
  <c r="AE28" i="6" l="1"/>
  <c r="AE31" i="6" s="1"/>
  <c r="AE7" i="2" s="1"/>
  <c r="AB4" i="3"/>
  <c r="AB9" i="3" s="1"/>
  <c r="AB25" i="3" s="1"/>
  <c r="AB29" i="9"/>
  <c r="AE13" i="7"/>
  <c r="AE26" i="7" s="1"/>
  <c r="AE28" i="7" s="1"/>
  <c r="AF3" i="6"/>
  <c r="AF12" i="6" s="1"/>
  <c r="AE21" i="6"/>
  <c r="AE5" i="2" s="1"/>
  <c r="AD5" i="3"/>
  <c r="AD7" i="9" s="1"/>
  <c r="AE17" i="6"/>
  <c r="AE4" i="2" s="1"/>
  <c r="AE12" i="2" s="1"/>
  <c r="AE14" i="2" s="1"/>
  <c r="AD16" i="2"/>
  <c r="AD23" i="2" s="1"/>
  <c r="AD6" i="9"/>
  <c r="AD12" i="3"/>
  <c r="AD13" i="9" s="1"/>
  <c r="AA26" i="3"/>
  <c r="AF23" i="6"/>
  <c r="AF25" i="6" s="1"/>
  <c r="AF6" i="2" s="1"/>
  <c r="AF13" i="2" s="1"/>
  <c r="AF22" i="4"/>
  <c r="AD14" i="9"/>
  <c r="AD33" i="2"/>
  <c r="AC20" i="3"/>
  <c r="AC22" i="3" s="1"/>
  <c r="AC18" i="9"/>
  <c r="AC20" i="9" s="1"/>
  <c r="AE14" i="7" l="1"/>
  <c r="AD35" i="2"/>
  <c r="AD19" i="3" s="1"/>
  <c r="AD20" i="3" s="1"/>
  <c r="AB29" i="3"/>
  <c r="AB31" i="3" s="1"/>
  <c r="AB32" i="3" s="1"/>
  <c r="AB33" i="3" s="1"/>
  <c r="AB34" i="3" s="1"/>
  <c r="AE8" i="2"/>
  <c r="AE6" i="3" s="1"/>
  <c r="AD9" i="9"/>
  <c r="AF13" i="6"/>
  <c r="AF13" i="7" s="1"/>
  <c r="AD15" i="3"/>
  <c r="AE31" i="2"/>
  <c r="AE28" i="2"/>
  <c r="AE30" i="2"/>
  <c r="AE27" i="2"/>
  <c r="AE32" i="2"/>
  <c r="AE38" i="2"/>
  <c r="AD12" i="9"/>
  <c r="AD37" i="2"/>
  <c r="AC27" i="9"/>
  <c r="AE29" i="7"/>
  <c r="AE30" i="7" s="1"/>
  <c r="AE26" i="2" s="1"/>
  <c r="AF11" i="2"/>
  <c r="AF28" i="6"/>
  <c r="AF31" i="6" s="1"/>
  <c r="AF7" i="2" s="1"/>
  <c r="AE16" i="2" l="1"/>
  <c r="AE23" i="2" s="1"/>
  <c r="AE6" i="9"/>
  <c r="AE5" i="3"/>
  <c r="AE7" i="9" s="1"/>
  <c r="AF17" i="6"/>
  <c r="AF4" i="2" s="1"/>
  <c r="AG19" i="4"/>
  <c r="AG9" i="6" s="1"/>
  <c r="AG10" i="6" s="1"/>
  <c r="AF21" i="6"/>
  <c r="AF5" i="2" s="1"/>
  <c r="AE12" i="3"/>
  <c r="AE13" i="9" s="1"/>
  <c r="AG3" i="6"/>
  <c r="AG12" i="6" s="1"/>
  <c r="AD22" i="3"/>
  <c r="AB26" i="3"/>
  <c r="AE14" i="9"/>
  <c r="AF12" i="2"/>
  <c r="AF14" i="2" s="1"/>
  <c r="AE33" i="2"/>
  <c r="AC4" i="3"/>
  <c r="AC9" i="3" s="1"/>
  <c r="AD3" i="9"/>
  <c r="AC29" i="9"/>
  <c r="AD18" i="9"/>
  <c r="AD20" i="9" s="1"/>
  <c r="AF14" i="7"/>
  <c r="AF26" i="7"/>
  <c r="AF28" i="7" s="1"/>
  <c r="AE9" i="9" l="1"/>
  <c r="AF8" i="2"/>
  <c r="AF6" i="3" s="1"/>
  <c r="AG23" i="6"/>
  <c r="AG25" i="6" s="1"/>
  <c r="AG6" i="2" s="1"/>
  <c r="AG13" i="2" s="1"/>
  <c r="AG22" i="4"/>
  <c r="AG11" i="2" s="1"/>
  <c r="AE15" i="3"/>
  <c r="AG13" i="6"/>
  <c r="AG17" i="6" s="1"/>
  <c r="AG4" i="2" s="1"/>
  <c r="AD27" i="9"/>
  <c r="AD29" i="9" s="1"/>
  <c r="AC25" i="3"/>
  <c r="AC29" i="3"/>
  <c r="AC31" i="3" s="1"/>
  <c r="AF27" i="2"/>
  <c r="AF31" i="2"/>
  <c r="AF28" i="2"/>
  <c r="AF32" i="2"/>
  <c r="AF38" i="2"/>
  <c r="AF30" i="2"/>
  <c r="AE37" i="2"/>
  <c r="AE12" i="9"/>
  <c r="AF6" i="9"/>
  <c r="AF5" i="3"/>
  <c r="AF29" i="7"/>
  <c r="AF30" i="7" s="1"/>
  <c r="AF26" i="2" s="1"/>
  <c r="AE35" i="2"/>
  <c r="AE19" i="3" s="1"/>
  <c r="AH19" i="4" l="1"/>
  <c r="AH9" i="6" s="1"/>
  <c r="AH10" i="6" s="1"/>
  <c r="AG28" i="6"/>
  <c r="AG31" i="6" s="1"/>
  <c r="AG7" i="2" s="1"/>
  <c r="AG21" i="6"/>
  <c r="AG5" i="2" s="1"/>
  <c r="AF16" i="2"/>
  <c r="AF23" i="2" s="1"/>
  <c r="AG13" i="7"/>
  <c r="AG26" i="7" s="1"/>
  <c r="AG28" i="7" s="1"/>
  <c r="AH3" i="6"/>
  <c r="AH12" i="6" s="1"/>
  <c r="AF12" i="3"/>
  <c r="AF15" i="3" s="1"/>
  <c r="AE18" i="9"/>
  <c r="AE20" i="9" s="1"/>
  <c r="AC32" i="3"/>
  <c r="AC33" i="3" s="1"/>
  <c r="AC34" i="3" s="1"/>
  <c r="AE20" i="3"/>
  <c r="AE22" i="3" s="1"/>
  <c r="AF33" i="2"/>
  <c r="AF14" i="9"/>
  <c r="AG12" i="2"/>
  <c r="AG14" i="2" s="1"/>
  <c r="AF7" i="9"/>
  <c r="AF9" i="9" s="1"/>
  <c r="AH23" i="6"/>
  <c r="AH25" i="6" s="1"/>
  <c r="AH6" i="2" s="1"/>
  <c r="AH13" i="2" s="1"/>
  <c r="AH22" i="4"/>
  <c r="AD4" i="3"/>
  <c r="AD9" i="3" s="1"/>
  <c r="AE3" i="9"/>
  <c r="AG8" i="2" l="1"/>
  <c r="AG6" i="3" s="1"/>
  <c r="AF35" i="2"/>
  <c r="AF19" i="3" s="1"/>
  <c r="AF20" i="3" s="1"/>
  <c r="AF22" i="3" s="1"/>
  <c r="AG14" i="7"/>
  <c r="AG31" i="2" s="1"/>
  <c r="AH13" i="6"/>
  <c r="AH21" i="6" s="1"/>
  <c r="AH5" i="2" s="1"/>
  <c r="AE27" i="9"/>
  <c r="AE4" i="3" s="1"/>
  <c r="AE9" i="3" s="1"/>
  <c r="AF13" i="9"/>
  <c r="AC26" i="3"/>
  <c r="AG29" i="7"/>
  <c r="AG30" i="7" s="1"/>
  <c r="AG26" i="2" s="1"/>
  <c r="AD29" i="3"/>
  <c r="AD31" i="3" s="1"/>
  <c r="AD25" i="3"/>
  <c r="AG5" i="3"/>
  <c r="AG16" i="2"/>
  <c r="AG23" i="2" s="1"/>
  <c r="AG6" i="9"/>
  <c r="AF12" i="9"/>
  <c r="AF37" i="2"/>
  <c r="AH11" i="2"/>
  <c r="AH28" i="6"/>
  <c r="AH31" i="6" s="1"/>
  <c r="AH7" i="2" s="1"/>
  <c r="AG38" i="2" l="1"/>
  <c r="AG28" i="2"/>
  <c r="AG30" i="2"/>
  <c r="AG32" i="2"/>
  <c r="AG27" i="2"/>
  <c r="AI3" i="6"/>
  <c r="AI12" i="6" s="1"/>
  <c r="AH13" i="7"/>
  <c r="AH14" i="7" s="1"/>
  <c r="AI19" i="4"/>
  <c r="AI9" i="6" s="1"/>
  <c r="AI10" i="6" s="1"/>
  <c r="AH17" i="6"/>
  <c r="AH4" i="2" s="1"/>
  <c r="AH8" i="2" s="1"/>
  <c r="AH6" i="3" s="1"/>
  <c r="AF18" i="9"/>
  <c r="AF20" i="9" s="1"/>
  <c r="AE29" i="9"/>
  <c r="AF3" i="9"/>
  <c r="AG7" i="9"/>
  <c r="AG9" i="9" s="1"/>
  <c r="AG14" i="9"/>
  <c r="AE25" i="3"/>
  <c r="AE29" i="3"/>
  <c r="AE31" i="3" s="1"/>
  <c r="AD32" i="3"/>
  <c r="AD33" i="3" s="1"/>
  <c r="AD34" i="3" s="1"/>
  <c r="AI22" i="4" l="1"/>
  <c r="AG12" i="3"/>
  <c r="AG15" i="3" s="1"/>
  <c r="AG33" i="2"/>
  <c r="AG37" i="2" s="1"/>
  <c r="AH26" i="7"/>
  <c r="AH28" i="7" s="1"/>
  <c r="AH29" i="7" s="1"/>
  <c r="AH30" i="7" s="1"/>
  <c r="AH26" i="2" s="1"/>
  <c r="AI23" i="6"/>
  <c r="AI25" i="6" s="1"/>
  <c r="AI6" i="2" s="1"/>
  <c r="AI13" i="2" s="1"/>
  <c r="AH12" i="2"/>
  <c r="AH14" i="2" s="1"/>
  <c r="AH16" i="2" s="1"/>
  <c r="AH23" i="2" s="1"/>
  <c r="AI13" i="6"/>
  <c r="AI17" i="6" s="1"/>
  <c r="AI4" i="2" s="1"/>
  <c r="AF27" i="9"/>
  <c r="AF4" i="3" s="1"/>
  <c r="AF9" i="3" s="1"/>
  <c r="AD26" i="3"/>
  <c r="AI28" i="6"/>
  <c r="AI31" i="6" s="1"/>
  <c r="AI7" i="2" s="1"/>
  <c r="AI11" i="2"/>
  <c r="AE32" i="3"/>
  <c r="AE33" i="3" s="1"/>
  <c r="AE34" i="3" s="1"/>
  <c r="AH5" i="3"/>
  <c r="AH6" i="9"/>
  <c r="AH32" i="2"/>
  <c r="AH38" i="2"/>
  <c r="AH28" i="2"/>
  <c r="AH27" i="2"/>
  <c r="AH31" i="2"/>
  <c r="AH30" i="2"/>
  <c r="AG13" i="9" l="1"/>
  <c r="AG12" i="9"/>
  <c r="AG18" i="9" s="1"/>
  <c r="AG20" i="9" s="1"/>
  <c r="AG35" i="2"/>
  <c r="AG19" i="3" s="1"/>
  <c r="AG20" i="3" s="1"/>
  <c r="AG22" i="3" s="1"/>
  <c r="AJ3" i="6"/>
  <c r="AI13" i="7"/>
  <c r="AI26" i="7" s="1"/>
  <c r="AI28" i="7" s="1"/>
  <c r="AJ19" i="4"/>
  <c r="AJ9" i="6" s="1"/>
  <c r="AJ10" i="6" s="1"/>
  <c r="AI21" i="6"/>
  <c r="AI5" i="2" s="1"/>
  <c r="AI8" i="2" s="1"/>
  <c r="AI6" i="3" s="1"/>
  <c r="AF29" i="9"/>
  <c r="AG3" i="9"/>
  <c r="AH12" i="3"/>
  <c r="AH15" i="3" s="1"/>
  <c r="AE26" i="3"/>
  <c r="AH7" i="9"/>
  <c r="AH9" i="9" s="1"/>
  <c r="AI12" i="2"/>
  <c r="AI14" i="2" s="1"/>
  <c r="AH14" i="9"/>
  <c r="AH33" i="2"/>
  <c r="AH35" i="2" s="1"/>
  <c r="AF29" i="3"/>
  <c r="AF31" i="3" s="1"/>
  <c r="AF25" i="3"/>
  <c r="AJ12" i="6"/>
  <c r="AJ23" i="6" l="1"/>
  <c r="AJ25" i="6" s="1"/>
  <c r="AJ6" i="2" s="1"/>
  <c r="AJ13" i="2" s="1"/>
  <c r="AH19" i="3"/>
  <c r="AG27" i="9"/>
  <c r="AG29" i="9" s="1"/>
  <c r="AI14" i="7"/>
  <c r="AI27" i="2" s="1"/>
  <c r="AJ22" i="4"/>
  <c r="AJ28" i="6" s="1"/>
  <c r="AJ31" i="6" s="1"/>
  <c r="AJ7" i="2" s="1"/>
  <c r="AJ13" i="6"/>
  <c r="AH3" i="9"/>
  <c r="AH13" i="9"/>
  <c r="AH20" i="3"/>
  <c r="AH22" i="3" s="1"/>
  <c r="AI29" i="7"/>
  <c r="AI30" i="7" s="1"/>
  <c r="AI26" i="2" s="1"/>
  <c r="AI16" i="2"/>
  <c r="AI23" i="2" s="1"/>
  <c r="AI5" i="3"/>
  <c r="AI6" i="9"/>
  <c r="AH37" i="2"/>
  <c r="AH12" i="9"/>
  <c r="AF32" i="3"/>
  <c r="AF33" i="3" s="1"/>
  <c r="AF34" i="3" s="1"/>
  <c r="AI28" i="2" l="1"/>
  <c r="AI32" i="2"/>
  <c r="AI38" i="2"/>
  <c r="AI30" i="2"/>
  <c r="AG4" i="3"/>
  <c r="AG9" i="3" s="1"/>
  <c r="AG29" i="3" s="1"/>
  <c r="AG31" i="3" s="1"/>
  <c r="AG32" i="3" s="1"/>
  <c r="AG33" i="3" s="1"/>
  <c r="AG34" i="3" s="1"/>
  <c r="AI31" i="2"/>
  <c r="AJ11" i="2"/>
  <c r="AJ17" i="6"/>
  <c r="AJ4" i="2" s="1"/>
  <c r="AJ12" i="2" s="1"/>
  <c r="AK19" i="4"/>
  <c r="AK9" i="6" s="1"/>
  <c r="AK10" i="6" s="1"/>
  <c r="AK3" i="6"/>
  <c r="AK12" i="6" s="1"/>
  <c r="AJ21" i="6"/>
  <c r="AJ5" i="2" s="1"/>
  <c r="AJ13" i="7"/>
  <c r="AJ14" i="7" s="1"/>
  <c r="AH18" i="9"/>
  <c r="AH20" i="9" s="1"/>
  <c r="AH27" i="9" s="1"/>
  <c r="AH29" i="9" s="1"/>
  <c r="AF26" i="3"/>
  <c r="AI14" i="9"/>
  <c r="AI7" i="9"/>
  <c r="AI9" i="9" s="1"/>
  <c r="AK23" i="6" l="1"/>
  <c r="AK25" i="6" s="1"/>
  <c r="AK6" i="2" s="1"/>
  <c r="AK13" i="2" s="1"/>
  <c r="AG25" i="3"/>
  <c r="AG26" i="3" s="1"/>
  <c r="AI33" i="2"/>
  <c r="AI12" i="9" s="1"/>
  <c r="AI12" i="3"/>
  <c r="AI13" i="9" s="1"/>
  <c r="AK22" i="4"/>
  <c r="AK11" i="2" s="1"/>
  <c r="AJ14" i="2"/>
  <c r="AK13" i="6"/>
  <c r="AK21" i="6" s="1"/>
  <c r="AK5" i="2" s="1"/>
  <c r="AJ8" i="2"/>
  <c r="AJ6" i="9" s="1"/>
  <c r="AJ26" i="7"/>
  <c r="AJ28" i="7" s="1"/>
  <c r="AJ29" i="7" s="1"/>
  <c r="AJ30" i="7" s="1"/>
  <c r="AJ26" i="2" s="1"/>
  <c r="AI37" i="2"/>
  <c r="AH4" i="3"/>
  <c r="AH9" i="3" s="1"/>
  <c r="AI3" i="9"/>
  <c r="AJ38" i="2"/>
  <c r="AJ32" i="2"/>
  <c r="AJ30" i="2"/>
  <c r="AJ27" i="2"/>
  <c r="AJ31" i="2"/>
  <c r="AJ28" i="2"/>
  <c r="AK28" i="6" l="1"/>
  <c r="AK31" i="6" s="1"/>
  <c r="AK7" i="2" s="1"/>
  <c r="AI18" i="9"/>
  <c r="AI20" i="9" s="1"/>
  <c r="AI27" i="9" s="1"/>
  <c r="AI15" i="3"/>
  <c r="AI35" i="2"/>
  <c r="AI19" i="3" s="1"/>
  <c r="AI20" i="3" s="1"/>
  <c r="AJ16" i="2"/>
  <c r="AJ23" i="2" s="1"/>
  <c r="AJ6" i="3"/>
  <c r="AJ14" i="9" s="1"/>
  <c r="AJ5" i="3"/>
  <c r="AJ7" i="9" s="1"/>
  <c r="AJ9" i="9" s="1"/>
  <c r="AK13" i="7"/>
  <c r="AK14" i="7" s="1"/>
  <c r="AL3" i="6"/>
  <c r="AL12" i="6" s="1"/>
  <c r="AL19" i="4"/>
  <c r="AL9" i="6" s="1"/>
  <c r="AL10" i="6" s="1"/>
  <c r="AJ12" i="3"/>
  <c r="AJ13" i="9" s="1"/>
  <c r="AK17" i="6"/>
  <c r="AK4" i="2" s="1"/>
  <c r="AK12" i="2" s="1"/>
  <c r="AK14" i="2" s="1"/>
  <c r="AH25" i="3"/>
  <c r="AH29" i="3"/>
  <c r="AH31" i="3" s="1"/>
  <c r="AJ33" i="2"/>
  <c r="AI22" i="3" l="1"/>
  <c r="AK26" i="7"/>
  <c r="AK28" i="7" s="1"/>
  <c r="AK29" i="7" s="1"/>
  <c r="AK30" i="7" s="1"/>
  <c r="AK26" i="2" s="1"/>
  <c r="AJ35" i="2"/>
  <c r="AJ19" i="3" s="1"/>
  <c r="AJ20" i="3" s="1"/>
  <c r="AL23" i="6"/>
  <c r="AL25" i="6" s="1"/>
  <c r="AL6" i="2" s="1"/>
  <c r="AL13" i="2" s="1"/>
  <c r="E13" i="8" s="1"/>
  <c r="AK8" i="2"/>
  <c r="AL22" i="4"/>
  <c r="AL28" i="6" s="1"/>
  <c r="AL31" i="6" s="1"/>
  <c r="AL7" i="2" s="1"/>
  <c r="E7" i="8" s="1"/>
  <c r="AJ15" i="3"/>
  <c r="AL13" i="6"/>
  <c r="AL21" i="6" s="1"/>
  <c r="AL5" i="2" s="1"/>
  <c r="E5" i="8" s="1"/>
  <c r="AJ37" i="2"/>
  <c r="AJ12" i="9"/>
  <c r="AJ18" i="9" s="1"/>
  <c r="AJ20" i="9" s="1"/>
  <c r="AK32" i="2"/>
  <c r="AK28" i="2"/>
  <c r="AK27" i="2"/>
  <c r="AK30" i="2"/>
  <c r="AK31" i="2"/>
  <c r="AK38" i="2"/>
  <c r="AI4" i="3"/>
  <c r="AI9" i="3" s="1"/>
  <c r="AJ3" i="9"/>
  <c r="AH32" i="3"/>
  <c r="AH33" i="3" s="1"/>
  <c r="AH34" i="3" s="1"/>
  <c r="AI29" i="9"/>
  <c r="AK6" i="9" l="1"/>
  <c r="AK6" i="3"/>
  <c r="AK14" i="9" s="1"/>
  <c r="AJ22" i="3"/>
  <c r="AK16" i="2"/>
  <c r="AK23" i="2" s="1"/>
  <c r="AK5" i="3"/>
  <c r="AK7" i="9" s="1"/>
  <c r="AK9" i="9" s="1"/>
  <c r="E6" i="8"/>
  <c r="AL11" i="2"/>
  <c r="E11" i="8" s="1"/>
  <c r="AL17" i="6"/>
  <c r="AL4" i="2" s="1"/>
  <c r="E4" i="8" s="1"/>
  <c r="AL13" i="7"/>
  <c r="AL26" i="7" s="1"/>
  <c r="AL28" i="7" s="1"/>
  <c r="AM3" i="6"/>
  <c r="AM12" i="6" s="1"/>
  <c r="AK12" i="3"/>
  <c r="AK13" i="9" s="1"/>
  <c r="AM19" i="4"/>
  <c r="AM9" i="6" s="1"/>
  <c r="AM10" i="6" s="1"/>
  <c r="AH26" i="3"/>
  <c r="AI29" i="3"/>
  <c r="AI31" i="3" s="1"/>
  <c r="AI25" i="3"/>
  <c r="AK33" i="2"/>
  <c r="AJ27" i="9"/>
  <c r="AM22" i="4" l="1"/>
  <c r="AM13" i="6"/>
  <c r="AN19" i="4" s="1"/>
  <c r="AN9" i="6" s="1"/>
  <c r="AN10" i="6" s="1"/>
  <c r="AL12" i="2"/>
  <c r="E12" i="8" s="1"/>
  <c r="E14" i="8" s="1"/>
  <c r="E8" i="8"/>
  <c r="AL8" i="2"/>
  <c r="AL6" i="3" s="1"/>
  <c r="AM23" i="6"/>
  <c r="AM25" i="6" s="1"/>
  <c r="AM6" i="2" s="1"/>
  <c r="AM13" i="2" s="1"/>
  <c r="AK35" i="2"/>
  <c r="AK19" i="3" s="1"/>
  <c r="AK20" i="3" s="1"/>
  <c r="AK15" i="3"/>
  <c r="AL14" i="7"/>
  <c r="AL28" i="2" s="1"/>
  <c r="E28" i="8" s="1"/>
  <c r="AJ4" i="3"/>
  <c r="AJ9" i="3" s="1"/>
  <c r="AK3" i="9"/>
  <c r="AM11" i="2"/>
  <c r="AM28" i="6"/>
  <c r="AM31" i="6" s="1"/>
  <c r="AM7" i="2" s="1"/>
  <c r="AI32" i="3"/>
  <c r="AI33" i="3" s="1"/>
  <c r="AI34" i="3" s="1"/>
  <c r="AL29" i="7"/>
  <c r="AL30" i="7" s="1"/>
  <c r="AL26" i="2" s="1"/>
  <c r="AK12" i="9"/>
  <c r="AK18" i="9" s="1"/>
  <c r="AK20" i="9" s="1"/>
  <c r="AK37" i="2"/>
  <c r="AJ29" i="9"/>
  <c r="E16" i="8" l="1"/>
  <c r="E23" i="8" s="1"/>
  <c r="AL5" i="3"/>
  <c r="E5" i="10" s="1"/>
  <c r="AL14" i="2"/>
  <c r="AL16" i="2" s="1"/>
  <c r="AL23" i="2" s="1"/>
  <c r="AL6" i="9"/>
  <c r="E6" i="11" s="1"/>
  <c r="AK22" i="3"/>
  <c r="AL31" i="2"/>
  <c r="E31" i="8" s="1"/>
  <c r="AL30" i="2"/>
  <c r="E30" i="8" s="1"/>
  <c r="AM17" i="6"/>
  <c r="AM4" i="2" s="1"/>
  <c r="AM12" i="2" s="1"/>
  <c r="AL32" i="2"/>
  <c r="E32" i="8" s="1"/>
  <c r="AM21" i="6"/>
  <c r="AM5" i="2" s="1"/>
  <c r="AM13" i="7"/>
  <c r="AM14" i="7" s="1"/>
  <c r="AL38" i="2"/>
  <c r="E35" i="8" s="1"/>
  <c r="AN3" i="6"/>
  <c r="AL27" i="2"/>
  <c r="E27" i="8" s="1"/>
  <c r="AI26" i="3"/>
  <c r="AK27" i="9"/>
  <c r="AK29" i="9" s="1"/>
  <c r="AN12" i="6"/>
  <c r="AN23" i="6"/>
  <c r="AN25" i="6" s="1"/>
  <c r="AN6" i="2" s="1"/>
  <c r="AN22" i="4"/>
  <c r="E6" i="10"/>
  <c r="E14" i="11"/>
  <c r="AL14" i="9"/>
  <c r="E26" i="8"/>
  <c r="AJ25" i="3"/>
  <c r="AJ29" i="3"/>
  <c r="AJ31" i="3" s="1"/>
  <c r="AL7" i="9" l="1"/>
  <c r="AL9" i="9" s="1"/>
  <c r="E7" i="11"/>
  <c r="E9" i="11" s="1"/>
  <c r="AM26" i="7"/>
  <c r="AM28" i="7" s="1"/>
  <c r="AM29" i="7" s="1"/>
  <c r="AM30" i="7" s="1"/>
  <c r="AM26" i="2" s="1"/>
  <c r="AM8" i="2"/>
  <c r="AM6" i="3" s="1"/>
  <c r="AL12" i="3"/>
  <c r="E12" i="10" s="1"/>
  <c r="E33" i="8"/>
  <c r="E36" i="8" s="1"/>
  <c r="AL33" i="2"/>
  <c r="AL37" i="2" s="1"/>
  <c r="AN13" i="6"/>
  <c r="AO19" i="4" s="1"/>
  <c r="AO9" i="6" s="1"/>
  <c r="AO10" i="6" s="1"/>
  <c r="AM31" i="2"/>
  <c r="AM32" i="2"/>
  <c r="AM38" i="2"/>
  <c r="AM30" i="2"/>
  <c r="AM27" i="2"/>
  <c r="AM28" i="2"/>
  <c r="AJ32" i="3"/>
  <c r="AJ33" i="3" s="1"/>
  <c r="AJ34" i="3" s="1"/>
  <c r="AM14" i="2"/>
  <c r="AN11" i="2"/>
  <c r="AN28" i="6"/>
  <c r="AN31" i="6" s="1"/>
  <c r="AN7" i="2" s="1"/>
  <c r="AN13" i="2"/>
  <c r="AK4" i="3"/>
  <c r="AK9" i="3" s="1"/>
  <c r="AL3" i="9"/>
  <c r="AL35" i="2" l="1"/>
  <c r="AL19" i="3" s="1"/>
  <c r="AL13" i="9"/>
  <c r="E13" i="11"/>
  <c r="AL15" i="3"/>
  <c r="E15" i="10" s="1"/>
  <c r="AM6" i="9"/>
  <c r="AM16" i="2"/>
  <c r="AM23" i="2" s="1"/>
  <c r="AM5" i="3"/>
  <c r="AM7" i="9" s="1"/>
  <c r="AL12" i="9"/>
  <c r="E12" i="11" s="1"/>
  <c r="AN17" i="6"/>
  <c r="AN4" i="2" s="1"/>
  <c r="AN12" i="2" s="1"/>
  <c r="AN14" i="2" s="1"/>
  <c r="AN13" i="7"/>
  <c r="AN14" i="7" s="1"/>
  <c r="AO3" i="6"/>
  <c r="AO12" i="6" s="1"/>
  <c r="AN21" i="6"/>
  <c r="AN5" i="2" s="1"/>
  <c r="AK25" i="3"/>
  <c r="AK29" i="3"/>
  <c r="AK31" i="3" s="1"/>
  <c r="AJ26" i="3"/>
  <c r="AM14" i="9"/>
  <c r="AM33" i="2"/>
  <c r="AM37" i="2" s="1"/>
  <c r="AO23" i="6"/>
  <c r="AO25" i="6" s="1"/>
  <c r="AO6" i="2" s="1"/>
  <c r="AO22" i="4"/>
  <c r="AM12" i="3"/>
  <c r="AL20" i="3"/>
  <c r="E19" i="10"/>
  <c r="E18" i="11" l="1"/>
  <c r="AM9" i="9"/>
  <c r="AM12" i="9"/>
  <c r="AN26" i="7"/>
  <c r="AN28" i="7" s="1"/>
  <c r="AN29" i="7" s="1"/>
  <c r="AN30" i="7" s="1"/>
  <c r="AN26" i="2" s="1"/>
  <c r="AM35" i="2"/>
  <c r="AM19" i="3" s="1"/>
  <c r="AM20" i="3" s="1"/>
  <c r="AN8" i="2"/>
  <c r="AN6" i="3" s="1"/>
  <c r="AL18" i="9"/>
  <c r="AL20" i="9" s="1"/>
  <c r="AL27" i="9" s="1"/>
  <c r="E29" i="11" s="1"/>
  <c r="AO13" i="6"/>
  <c r="AO17" i="6" s="1"/>
  <c r="AO4" i="2" s="1"/>
  <c r="AO11" i="2"/>
  <c r="AO28" i="6"/>
  <c r="AO31" i="6" s="1"/>
  <c r="AO7" i="2" s="1"/>
  <c r="AO13" i="2"/>
  <c r="AK32" i="3"/>
  <c r="AK33" i="3" s="1"/>
  <c r="AK34" i="3" s="1"/>
  <c r="AN30" i="2"/>
  <c r="AN38" i="2"/>
  <c r="AN32" i="2"/>
  <c r="AN28" i="2"/>
  <c r="AN31" i="2"/>
  <c r="AN27" i="2"/>
  <c r="E20" i="10"/>
  <c r="AL22" i="3"/>
  <c r="E22" i="10" s="1"/>
  <c r="AM13" i="9"/>
  <c r="AM15" i="3"/>
  <c r="AM18" i="9" l="1"/>
  <c r="AM20" i="9" s="1"/>
  <c r="AN5" i="3"/>
  <c r="AN7" i="9" s="1"/>
  <c r="AN6" i="9"/>
  <c r="AN16" i="2"/>
  <c r="AN23" i="2" s="1"/>
  <c r="AM3" i="9"/>
  <c r="AM27" i="9" s="1"/>
  <c r="AL4" i="3"/>
  <c r="AL9" i="3" s="1"/>
  <c r="AL29" i="9"/>
  <c r="E27" i="11"/>
  <c r="AP3" i="6"/>
  <c r="AP12" i="6" s="1"/>
  <c r="AP19" i="4"/>
  <c r="AP9" i="6" s="1"/>
  <c r="AP10" i="6" s="1"/>
  <c r="AO21" i="6"/>
  <c r="AO5" i="2" s="1"/>
  <c r="AO8" i="2" s="1"/>
  <c r="AO6" i="3" s="1"/>
  <c r="AO13" i="7"/>
  <c r="AO14" i="7" s="1"/>
  <c r="AM22" i="3"/>
  <c r="AN12" i="3"/>
  <c r="AN13" i="9" s="1"/>
  <c r="AK26" i="3"/>
  <c r="AO12" i="2"/>
  <c r="AO14" i="2" s="1"/>
  <c r="AN33" i="2"/>
  <c r="AN14" i="9"/>
  <c r="AN9" i="9" l="1"/>
  <c r="AP22" i="4"/>
  <c r="AP28" i="6" s="1"/>
  <c r="AP31" i="6" s="1"/>
  <c r="AP7" i="2" s="1"/>
  <c r="AP23" i="6"/>
  <c r="AP25" i="6" s="1"/>
  <c r="AP6" i="2" s="1"/>
  <c r="AP13" i="2" s="1"/>
  <c r="AN35" i="2"/>
  <c r="AN19" i="3" s="1"/>
  <c r="AN20" i="3" s="1"/>
  <c r="F3" i="11"/>
  <c r="E4" i="10"/>
  <c r="AO26" i="7"/>
  <c r="AO28" i="7" s="1"/>
  <c r="AO29" i="7" s="1"/>
  <c r="AO30" i="7" s="1"/>
  <c r="AO26" i="2" s="1"/>
  <c r="AP13" i="6"/>
  <c r="AP21" i="6" s="1"/>
  <c r="AP5" i="2" s="1"/>
  <c r="AN15" i="3"/>
  <c r="AM4" i="3"/>
  <c r="AM9" i="3" s="1"/>
  <c r="AN3" i="9"/>
  <c r="E9" i="10"/>
  <c r="AL29" i="3"/>
  <c r="AL31" i="3" s="1"/>
  <c r="AL25" i="3"/>
  <c r="AO28" i="2"/>
  <c r="AO38" i="2"/>
  <c r="AO27" i="2"/>
  <c r="AO32" i="2"/>
  <c r="AO31" i="2"/>
  <c r="AO30" i="2"/>
  <c r="AO5" i="3"/>
  <c r="AO16" i="2"/>
  <c r="AO23" i="2" s="1"/>
  <c r="AO6" i="9"/>
  <c r="AN37" i="2"/>
  <c r="AN12" i="9"/>
  <c r="AM29" i="9"/>
  <c r="AP11" i="2" l="1"/>
  <c r="AP13" i="7"/>
  <c r="AP14" i="7" s="1"/>
  <c r="AP17" i="6"/>
  <c r="AP4" i="2" s="1"/>
  <c r="AP12" i="2" s="1"/>
  <c r="AQ19" i="4"/>
  <c r="AQ9" i="6" s="1"/>
  <c r="AQ10" i="6" s="1"/>
  <c r="AQ3" i="6"/>
  <c r="AQ12" i="6" s="1"/>
  <c r="AN22" i="3"/>
  <c r="AO33" i="2"/>
  <c r="AO35" i="2" s="1"/>
  <c r="AO19" i="3" s="1"/>
  <c r="AO14" i="9"/>
  <c r="AM29" i="3"/>
  <c r="AM31" i="3" s="1"/>
  <c r="AM25" i="3"/>
  <c r="AO7" i="9"/>
  <c r="AO9" i="9" s="1"/>
  <c r="AN18" i="9"/>
  <c r="AN20" i="9" s="1"/>
  <c r="AN27" i="9" s="1"/>
  <c r="AL32" i="3"/>
  <c r="AL33" i="3" s="1"/>
  <c r="AL34" i="3" s="1"/>
  <c r="AO12" i="3"/>
  <c r="AP26" i="7" l="1"/>
  <c r="AP28" i="7" s="1"/>
  <c r="AP14" i="2"/>
  <c r="AP8" i="2"/>
  <c r="AP6" i="3" s="1"/>
  <c r="AQ23" i="6"/>
  <c r="AQ25" i="6" s="1"/>
  <c r="AQ6" i="2" s="1"/>
  <c r="AQ13" i="2" s="1"/>
  <c r="AQ22" i="4"/>
  <c r="AQ11" i="2" s="1"/>
  <c r="AQ13" i="6"/>
  <c r="AQ21" i="6" s="1"/>
  <c r="AQ5" i="2" s="1"/>
  <c r="AL26" i="3"/>
  <c r="AO20" i="3"/>
  <c r="AP31" i="2"/>
  <c r="AP27" i="2"/>
  <c r="AP38" i="2"/>
  <c r="AP32" i="2"/>
  <c r="AP30" i="2"/>
  <c r="AP28" i="2"/>
  <c r="AO13" i="9"/>
  <c r="AO15" i="3"/>
  <c r="AN4" i="3"/>
  <c r="AN9" i="3" s="1"/>
  <c r="AO3" i="9"/>
  <c r="AN29" i="9"/>
  <c r="AM32" i="3"/>
  <c r="AM33" i="3" s="1"/>
  <c r="AM34" i="3" s="1"/>
  <c r="AP29" i="7"/>
  <c r="AP30" i="7" s="1"/>
  <c r="AP26" i="2" s="1"/>
  <c r="AO12" i="9"/>
  <c r="AO37" i="2"/>
  <c r="AQ28" i="6" l="1"/>
  <c r="AQ31" i="6" s="1"/>
  <c r="AQ7" i="2" s="1"/>
  <c r="AP6" i="9"/>
  <c r="AP16" i="2"/>
  <c r="AP23" i="2" s="1"/>
  <c r="AP5" i="3"/>
  <c r="AP7" i="9" s="1"/>
  <c r="AQ13" i="7"/>
  <c r="AQ26" i="7" s="1"/>
  <c r="AQ28" i="7" s="1"/>
  <c r="AQ17" i="6"/>
  <c r="AQ4" i="2" s="1"/>
  <c r="AQ12" i="2" s="1"/>
  <c r="AQ14" i="2" s="1"/>
  <c r="AR19" i="4"/>
  <c r="AR9" i="6" s="1"/>
  <c r="AR10" i="6" s="1"/>
  <c r="AR3" i="6"/>
  <c r="AR12" i="6" s="1"/>
  <c r="AP12" i="3"/>
  <c r="AP13" i="9" s="1"/>
  <c r="AM26" i="3"/>
  <c r="AP33" i="2"/>
  <c r="AP35" i="2" s="1"/>
  <c r="AP19" i="3" s="1"/>
  <c r="AO18" i="9"/>
  <c r="AO20" i="9" s="1"/>
  <c r="AO27" i="9" s="1"/>
  <c r="AP14" i="9"/>
  <c r="AN29" i="3"/>
  <c r="AN31" i="3" s="1"/>
  <c r="AN25" i="3"/>
  <c r="AO22" i="3"/>
  <c r="AR23" i="6" l="1"/>
  <c r="AR25" i="6" s="1"/>
  <c r="AR6" i="2" s="1"/>
  <c r="AR13" i="2" s="1"/>
  <c r="AQ14" i="7"/>
  <c r="AQ38" i="2" s="1"/>
  <c r="AR13" i="6"/>
  <c r="AR21" i="6" s="1"/>
  <c r="AR5" i="2" s="1"/>
  <c r="AQ8" i="2"/>
  <c r="AQ6" i="3" s="1"/>
  <c r="AR22" i="4"/>
  <c r="AR11" i="2" s="1"/>
  <c r="AP9" i="9"/>
  <c r="AP15" i="3"/>
  <c r="AO4" i="3"/>
  <c r="AO9" i="3" s="1"/>
  <c r="AP3" i="9"/>
  <c r="AO29" i="9"/>
  <c r="AQ29" i="7"/>
  <c r="AQ30" i="7" s="1"/>
  <c r="AQ26" i="2" s="1"/>
  <c r="AN32" i="3"/>
  <c r="AN33" i="3" s="1"/>
  <c r="AN34" i="3" s="1"/>
  <c r="AP20" i="3"/>
  <c r="AQ27" i="2"/>
  <c r="AQ31" i="2"/>
  <c r="AQ30" i="2"/>
  <c r="AQ32" i="2"/>
  <c r="AQ28" i="2"/>
  <c r="AP12" i="9"/>
  <c r="AP37" i="2"/>
  <c r="AR28" i="6" l="1"/>
  <c r="AR31" i="6" s="1"/>
  <c r="AR7" i="2" s="1"/>
  <c r="AQ6" i="9"/>
  <c r="AQ16" i="2"/>
  <c r="AQ23" i="2" s="1"/>
  <c r="AQ5" i="3"/>
  <c r="AQ7" i="9" s="1"/>
  <c r="AR17" i="6"/>
  <c r="AR4" i="2" s="1"/>
  <c r="AS19" i="4"/>
  <c r="AS9" i="6" s="1"/>
  <c r="AS10" i="6" s="1"/>
  <c r="AR13" i="7"/>
  <c r="AR14" i="7" s="1"/>
  <c r="AS3" i="6"/>
  <c r="AS12" i="6" s="1"/>
  <c r="AP22" i="3"/>
  <c r="AQ12" i="3"/>
  <c r="AQ13" i="9" s="1"/>
  <c r="AN26" i="3"/>
  <c r="AQ33" i="2"/>
  <c r="AP18" i="9"/>
  <c r="AP20" i="9" s="1"/>
  <c r="AP27" i="9" s="1"/>
  <c r="AQ14" i="9"/>
  <c r="AO25" i="3"/>
  <c r="AO29" i="3"/>
  <c r="AO31" i="3" s="1"/>
  <c r="AS23" i="6" l="1"/>
  <c r="AS25" i="6" s="1"/>
  <c r="AS6" i="2" s="1"/>
  <c r="AS13" i="2" s="1"/>
  <c r="AR8" i="2"/>
  <c r="AR6" i="3" s="1"/>
  <c r="AR12" i="2"/>
  <c r="AR14" i="2" s="1"/>
  <c r="AQ35" i="2"/>
  <c r="AQ19" i="3" s="1"/>
  <c r="AQ20" i="3" s="1"/>
  <c r="AQ9" i="9"/>
  <c r="AS22" i="4"/>
  <c r="AS11" i="2" s="1"/>
  <c r="AS13" i="6"/>
  <c r="AT19" i="4" s="1"/>
  <c r="AT9" i="6" s="1"/>
  <c r="AT10" i="6" s="1"/>
  <c r="AR26" i="7"/>
  <c r="AR28" i="7" s="1"/>
  <c r="AR29" i="7" s="1"/>
  <c r="AR30" i="7" s="1"/>
  <c r="AR26" i="2" s="1"/>
  <c r="AQ15" i="3"/>
  <c r="AR5" i="3"/>
  <c r="AR28" i="2"/>
  <c r="AR31" i="2"/>
  <c r="AR32" i="2"/>
  <c r="AR27" i="2"/>
  <c r="AR38" i="2"/>
  <c r="AR30" i="2"/>
  <c r="AP4" i="3"/>
  <c r="AP9" i="3" s="1"/>
  <c r="AQ3" i="9"/>
  <c r="AO32" i="3"/>
  <c r="AO33" i="3" s="1"/>
  <c r="AO34" i="3" s="1"/>
  <c r="AS28" i="6"/>
  <c r="AS31" i="6" s="1"/>
  <c r="AS7" i="2" s="1"/>
  <c r="AP29" i="9"/>
  <c r="AQ37" i="2"/>
  <c r="AQ12" i="9"/>
  <c r="AR16" i="2" l="1"/>
  <c r="AR23" i="2" s="1"/>
  <c r="AR6" i="9"/>
  <c r="AS17" i="6"/>
  <c r="AS4" i="2" s="1"/>
  <c r="AS12" i="2" s="1"/>
  <c r="AS14" i="2" s="1"/>
  <c r="AR12" i="3"/>
  <c r="AR15" i="3" s="1"/>
  <c r="AS13" i="7"/>
  <c r="AS14" i="7" s="1"/>
  <c r="AT3" i="6"/>
  <c r="AT12" i="6" s="1"/>
  <c r="AS21" i="6"/>
  <c r="AS5" i="2" s="1"/>
  <c r="AQ22" i="3"/>
  <c r="AO26" i="3"/>
  <c r="AR14" i="9"/>
  <c r="AT23" i="6"/>
  <c r="AT25" i="6" s="1"/>
  <c r="AT6" i="2" s="1"/>
  <c r="AT13" i="2" s="1"/>
  <c r="AT22" i="4"/>
  <c r="AR33" i="2"/>
  <c r="AR35" i="2" s="1"/>
  <c r="AR19" i="3" s="1"/>
  <c r="AQ18" i="9"/>
  <c r="AQ20" i="9" s="1"/>
  <c r="AQ27" i="9" s="1"/>
  <c r="AP25" i="3"/>
  <c r="AP29" i="3"/>
  <c r="AP31" i="3" s="1"/>
  <c r="AR7" i="9"/>
  <c r="AR9" i="9" s="1"/>
  <c r="AR13" i="9" l="1"/>
  <c r="AS26" i="7"/>
  <c r="AS28" i="7" s="1"/>
  <c r="AS29" i="7" s="1"/>
  <c r="AS30" i="7" s="1"/>
  <c r="AS26" i="2" s="1"/>
  <c r="AS8" i="2"/>
  <c r="AS6" i="3" s="1"/>
  <c r="AT13" i="6"/>
  <c r="AT13" i="7" s="1"/>
  <c r="AS38" i="2"/>
  <c r="AS32" i="2"/>
  <c r="AS30" i="2"/>
  <c r="AS31" i="2"/>
  <c r="AS28" i="2"/>
  <c r="AS27" i="2"/>
  <c r="AQ29" i="9"/>
  <c r="AT28" i="6"/>
  <c r="AT31" i="6" s="1"/>
  <c r="AT7" i="2" s="1"/>
  <c r="AT11" i="2"/>
  <c r="AQ4" i="3"/>
  <c r="AQ9" i="3" s="1"/>
  <c r="AR3" i="9"/>
  <c r="AR20" i="3"/>
  <c r="AR22" i="3" s="1"/>
  <c r="AP32" i="3"/>
  <c r="AP33" i="3" s="1"/>
  <c r="AP34" i="3" s="1"/>
  <c r="AR12" i="9"/>
  <c r="AR37" i="2"/>
  <c r="AR18" i="9" l="1"/>
  <c r="AR20" i="9" s="1"/>
  <c r="AS16" i="2"/>
  <c r="AS23" i="2" s="1"/>
  <c r="AS5" i="3"/>
  <c r="AS7" i="9" s="1"/>
  <c r="AU3" i="6"/>
  <c r="AU12" i="6" s="1"/>
  <c r="AT17" i="6"/>
  <c r="AT4" i="2" s="1"/>
  <c r="AT12" i="2" s="1"/>
  <c r="AT14" i="2" s="1"/>
  <c r="AS6" i="9"/>
  <c r="AT21" i="6"/>
  <c r="AT5" i="2" s="1"/>
  <c r="AU19" i="4"/>
  <c r="AU9" i="6" s="1"/>
  <c r="AU10" i="6" s="1"/>
  <c r="AS33" i="2"/>
  <c r="AS37" i="2" s="1"/>
  <c r="AS12" i="3"/>
  <c r="AS15" i="3" s="1"/>
  <c r="AP26" i="3"/>
  <c r="AT14" i="7"/>
  <c r="AT26" i="7"/>
  <c r="AT28" i="7" s="1"/>
  <c r="AR27" i="9"/>
  <c r="AQ25" i="3"/>
  <c r="AQ29" i="3"/>
  <c r="AQ31" i="3" s="1"/>
  <c r="AS14" i="9"/>
  <c r="AU23" i="6" l="1"/>
  <c r="AU25" i="6" s="1"/>
  <c r="AU6" i="2" s="1"/>
  <c r="AU13" i="2" s="1"/>
  <c r="AT8" i="2"/>
  <c r="AT6" i="3" s="1"/>
  <c r="AU22" i="4"/>
  <c r="AU11" i="2" s="1"/>
  <c r="AS9" i="9"/>
  <c r="AU13" i="6"/>
  <c r="AU21" i="6" s="1"/>
  <c r="AU5" i="2" s="1"/>
  <c r="AS35" i="2"/>
  <c r="AS19" i="3" s="1"/>
  <c r="AS20" i="3" s="1"/>
  <c r="AS22" i="3" s="1"/>
  <c r="AS12" i="9"/>
  <c r="AS13" i="9"/>
  <c r="AT38" i="2"/>
  <c r="AT32" i="2"/>
  <c r="AT31" i="2"/>
  <c r="AT30" i="2"/>
  <c r="AT28" i="2"/>
  <c r="AT27" i="2"/>
  <c r="AR4" i="3"/>
  <c r="AR9" i="3" s="1"/>
  <c r="AS3" i="9"/>
  <c r="AT5" i="3"/>
  <c r="AQ32" i="3"/>
  <c r="AQ33" i="3" s="1"/>
  <c r="AQ34" i="3" s="1"/>
  <c r="AT29" i="7"/>
  <c r="AT30" i="7" s="1"/>
  <c r="AT26" i="2" s="1"/>
  <c r="AR29" i="9"/>
  <c r="AU28" i="6" l="1"/>
  <c r="AU31" i="6" s="1"/>
  <c r="AU7" i="2" s="1"/>
  <c r="AT6" i="9"/>
  <c r="AT16" i="2"/>
  <c r="AT23" i="2" s="1"/>
  <c r="AS18" i="9"/>
  <c r="AS20" i="9" s="1"/>
  <c r="AS27" i="9" s="1"/>
  <c r="AV3" i="6"/>
  <c r="AV12" i="6" s="1"/>
  <c r="AV19" i="4"/>
  <c r="AV9" i="6" s="1"/>
  <c r="AV10" i="6" s="1"/>
  <c r="AT12" i="3"/>
  <c r="AT13" i="9" s="1"/>
  <c r="AU17" i="6"/>
  <c r="AU4" i="2" s="1"/>
  <c r="AU12" i="2" s="1"/>
  <c r="AU14" i="2" s="1"/>
  <c r="AU13" i="7"/>
  <c r="AU26" i="7" s="1"/>
  <c r="AU28" i="7" s="1"/>
  <c r="AT33" i="2"/>
  <c r="AT37" i="2" s="1"/>
  <c r="AT14" i="9"/>
  <c r="AQ26" i="3"/>
  <c r="AT7" i="9"/>
  <c r="AR25" i="3"/>
  <c r="AR29" i="3"/>
  <c r="AR31" i="3" s="1"/>
  <c r="AT9" i="9" l="1"/>
  <c r="AV23" i="6"/>
  <c r="AV25" i="6" s="1"/>
  <c r="AV6" i="2" s="1"/>
  <c r="AV13" i="2" s="1"/>
  <c r="AV13" i="6"/>
  <c r="AU14" i="7"/>
  <c r="AU31" i="2" s="1"/>
  <c r="AT15" i="3"/>
  <c r="AV22" i="4"/>
  <c r="AV28" i="6" s="1"/>
  <c r="AV31" i="6" s="1"/>
  <c r="AV7" i="2" s="1"/>
  <c r="AU8" i="2"/>
  <c r="AT35" i="2"/>
  <c r="AT19" i="3" s="1"/>
  <c r="AT20" i="3" s="1"/>
  <c r="AT12" i="9"/>
  <c r="AT18" i="9" s="1"/>
  <c r="AT20" i="9" s="1"/>
  <c r="AU29" i="7"/>
  <c r="AU30" i="7" s="1"/>
  <c r="AU26" i="2" s="1"/>
  <c r="AS4" i="3"/>
  <c r="AS9" i="3" s="1"/>
  <c r="AT3" i="9"/>
  <c r="AS29" i="9"/>
  <c r="AR32" i="3"/>
  <c r="AR33" i="3" s="1"/>
  <c r="AR34" i="3" s="1"/>
  <c r="AU30" i="2" l="1"/>
  <c r="AU32" i="2"/>
  <c r="AU38" i="2"/>
  <c r="AU27" i="2"/>
  <c r="AU28" i="2"/>
  <c r="AV17" i="6"/>
  <c r="AV4" i="2" s="1"/>
  <c r="AV21" i="6"/>
  <c r="AV5" i="2" s="1"/>
  <c r="AV13" i="7"/>
  <c r="AV26" i="7" s="1"/>
  <c r="AV28" i="7" s="1"/>
  <c r="AW3" i="6"/>
  <c r="AW12" i="6" s="1"/>
  <c r="AW19" i="4"/>
  <c r="AW9" i="6" s="1"/>
  <c r="AW10" i="6" s="1"/>
  <c r="AU5" i="3"/>
  <c r="AU7" i="9" s="1"/>
  <c r="AU6" i="3"/>
  <c r="AU14" i="9" s="1"/>
  <c r="AT22" i="3"/>
  <c r="AV11" i="2"/>
  <c r="AU16" i="2"/>
  <c r="AU23" i="2" s="1"/>
  <c r="AU6" i="9"/>
  <c r="AR26" i="3"/>
  <c r="AT27" i="9"/>
  <c r="AT29" i="9" s="1"/>
  <c r="AS29" i="3"/>
  <c r="AS31" i="3" s="1"/>
  <c r="AS25" i="3"/>
  <c r="AV12" i="2"/>
  <c r="AU12" i="3" l="1"/>
  <c r="AU15" i="3" s="1"/>
  <c r="AV14" i="7"/>
  <c r="AV28" i="2" s="1"/>
  <c r="AV8" i="2"/>
  <c r="AV6" i="3" s="1"/>
  <c r="AU33" i="2"/>
  <c r="AU37" i="2" s="1"/>
  <c r="AW23" i="6"/>
  <c r="AW25" i="6" s="1"/>
  <c r="AW6" i="2" s="1"/>
  <c r="AW13" i="2" s="1"/>
  <c r="AW22" i="4"/>
  <c r="AW28" i="6" s="1"/>
  <c r="AW31" i="6" s="1"/>
  <c r="AW7" i="2" s="1"/>
  <c r="AU9" i="9"/>
  <c r="AV14" i="2"/>
  <c r="AW13" i="6"/>
  <c r="AV29" i="7"/>
  <c r="AV30" i="7" s="1"/>
  <c r="AV26" i="2" s="1"/>
  <c r="AV27" i="2"/>
  <c r="AV31" i="2"/>
  <c r="AS32" i="3"/>
  <c r="AS33" i="3" s="1"/>
  <c r="AS34" i="3" s="1"/>
  <c r="AT4" i="3"/>
  <c r="AT9" i="3" s="1"/>
  <c r="AU3" i="9"/>
  <c r="AV6" i="9" l="1"/>
  <c r="AV5" i="3"/>
  <c r="AU35" i="2"/>
  <c r="AU19" i="3" s="1"/>
  <c r="AU20" i="3" s="1"/>
  <c r="AU22" i="3" s="1"/>
  <c r="AV32" i="2"/>
  <c r="AV16" i="2"/>
  <c r="AV23" i="2" s="1"/>
  <c r="AV30" i="2"/>
  <c r="AV33" i="2" s="1"/>
  <c r="AU13" i="9"/>
  <c r="AV38" i="2"/>
  <c r="AU12" i="9"/>
  <c r="AW11" i="2"/>
  <c r="AW13" i="7"/>
  <c r="AW26" i="7" s="1"/>
  <c r="AW28" i="7" s="1"/>
  <c r="AX19" i="4"/>
  <c r="AX9" i="6" s="1"/>
  <c r="AX10" i="6" s="1"/>
  <c r="AW21" i="6"/>
  <c r="AW5" i="2" s="1"/>
  <c r="AX3" i="6"/>
  <c r="AX12" i="6" s="1"/>
  <c r="AW17" i="6"/>
  <c r="AW4" i="2" s="1"/>
  <c r="AW12" i="2" s="1"/>
  <c r="AV7" i="9"/>
  <c r="AV9" i="9" s="1"/>
  <c r="AV14" i="9"/>
  <c r="AS26" i="3"/>
  <c r="AT25" i="3"/>
  <c r="AT29" i="3"/>
  <c r="AT31" i="3" s="1"/>
  <c r="AX22" i="4" l="1"/>
  <c r="AW14" i="2"/>
  <c r="AU18" i="9"/>
  <c r="AU20" i="9" s="1"/>
  <c r="AU27" i="9" s="1"/>
  <c r="AU4" i="3" s="1"/>
  <c r="AU9" i="3" s="1"/>
  <c r="AU29" i="3" s="1"/>
  <c r="AU31" i="3" s="1"/>
  <c r="AV12" i="3"/>
  <c r="AV15" i="3" s="1"/>
  <c r="AX23" i="6"/>
  <c r="AX25" i="6" s="1"/>
  <c r="AX6" i="2" s="1"/>
  <c r="AX13" i="2" s="1"/>
  <c r="F13" i="8" s="1"/>
  <c r="AW14" i="7"/>
  <c r="AW32" i="2" s="1"/>
  <c r="AX13" i="6"/>
  <c r="AW8" i="2"/>
  <c r="AW5" i="3" s="1"/>
  <c r="AV3" i="9"/>
  <c r="AU29" i="9"/>
  <c r="AX28" i="6"/>
  <c r="AX31" i="6" s="1"/>
  <c r="AX7" i="2" s="1"/>
  <c r="F7" i="8" s="1"/>
  <c r="AX11" i="2"/>
  <c r="AW29" i="7"/>
  <c r="AW30" i="7" s="1"/>
  <c r="AW26" i="2" s="1"/>
  <c r="AV37" i="2"/>
  <c r="AV12" i="9"/>
  <c r="AT32" i="3"/>
  <c r="AT33" i="3" s="1"/>
  <c r="AT34" i="3" s="1"/>
  <c r="AV35" i="2"/>
  <c r="AV19" i="3" s="1"/>
  <c r="AX13" i="7" l="1"/>
  <c r="F6" i="8"/>
  <c r="AV13" i="9"/>
  <c r="AU25" i="3"/>
  <c r="AW30" i="2"/>
  <c r="AW38" i="2"/>
  <c r="AW28" i="2"/>
  <c r="AW27" i="2"/>
  <c r="AW31" i="2"/>
  <c r="AW16" i="2"/>
  <c r="AW23" i="2" s="1"/>
  <c r="AW6" i="3"/>
  <c r="AW14" i="9" s="1"/>
  <c r="AW6" i="9"/>
  <c r="AX21" i="6"/>
  <c r="AX5" i="2" s="1"/>
  <c r="F5" i="8" s="1"/>
  <c r="AY3" i="6"/>
  <c r="AY12" i="6" s="1"/>
  <c r="AY19" i="4"/>
  <c r="AY9" i="6" s="1"/>
  <c r="AY10" i="6" s="1"/>
  <c r="AX17" i="6"/>
  <c r="AX4" i="2" s="1"/>
  <c r="AX12" i="2" s="1"/>
  <c r="F12" i="8" s="1"/>
  <c r="AV18" i="9"/>
  <c r="AV20" i="9" s="1"/>
  <c r="AV27" i="9" s="1"/>
  <c r="AV29" i="9" s="1"/>
  <c r="AT26" i="3"/>
  <c r="AV20" i="3"/>
  <c r="AV22" i="3" s="1"/>
  <c r="AX14" i="7"/>
  <c r="AX26" i="7"/>
  <c r="AX28" i="7" s="1"/>
  <c r="AU32" i="3"/>
  <c r="AU33" i="3" s="1"/>
  <c r="AU34" i="3" s="1"/>
  <c r="AW7" i="9"/>
  <c r="F11" i="8"/>
  <c r="AW33" i="2" l="1"/>
  <c r="AW35" i="2" s="1"/>
  <c r="AW19" i="3" s="1"/>
  <c r="AW20" i="3" s="1"/>
  <c r="AW12" i="3"/>
  <c r="AW15" i="3" s="1"/>
  <c r="AW9" i="9"/>
  <c r="F4" i="8"/>
  <c r="F8" i="8" s="1"/>
  <c r="AY22" i="4"/>
  <c r="AY11" i="2" s="1"/>
  <c r="AX8" i="2"/>
  <c r="AY23" i="6"/>
  <c r="AY25" i="6" s="1"/>
  <c r="AY6" i="2" s="1"/>
  <c r="AY13" i="2" s="1"/>
  <c r="AY13" i="6"/>
  <c r="AY17" i="6" s="1"/>
  <c r="AY4" i="2" s="1"/>
  <c r="AX14" i="2"/>
  <c r="AU26" i="3"/>
  <c r="AX29" i="7"/>
  <c r="AX30" i="7" s="1"/>
  <c r="AX26" i="2" s="1"/>
  <c r="AV4" i="3"/>
  <c r="AV9" i="3" s="1"/>
  <c r="AW3" i="9"/>
  <c r="F14" i="8"/>
  <c r="AX28" i="2"/>
  <c r="F28" i="8" s="1"/>
  <c r="AX27" i="2"/>
  <c r="F27" i="8" s="1"/>
  <c r="AX31" i="2"/>
  <c r="F31" i="8" s="1"/>
  <c r="AX32" i="2"/>
  <c r="F32" i="8" s="1"/>
  <c r="AX30" i="2"/>
  <c r="F30" i="8" s="1"/>
  <c r="AX38" i="2"/>
  <c r="F35" i="8" s="1"/>
  <c r="AW37" i="2"/>
  <c r="AW12" i="9"/>
  <c r="AZ19" i="4"/>
  <c r="AZ9" i="6" s="1"/>
  <c r="AZ10" i="6" s="1"/>
  <c r="AW13" i="9" l="1"/>
  <c r="AW22" i="3"/>
  <c r="F16" i="8"/>
  <c r="F23" i="8" s="1"/>
  <c r="AY28" i="6"/>
  <c r="AY31" i="6" s="1"/>
  <c r="AY7" i="2" s="1"/>
  <c r="AX6" i="9"/>
  <c r="F6" i="11" s="1"/>
  <c r="AX6" i="3"/>
  <c r="F14" i="11" s="1"/>
  <c r="AZ3" i="6"/>
  <c r="AZ12" i="6" s="1"/>
  <c r="AW18" i="9"/>
  <c r="AW20" i="9" s="1"/>
  <c r="AW27" i="9" s="1"/>
  <c r="AX5" i="3"/>
  <c r="F7" i="11" s="1"/>
  <c r="AX16" i="2"/>
  <c r="AX23" i="2" s="1"/>
  <c r="AY13" i="7"/>
  <c r="AY26" i="7" s="1"/>
  <c r="AY28" i="7" s="1"/>
  <c r="AY21" i="6"/>
  <c r="AY5" i="2" s="1"/>
  <c r="AY8" i="2" s="1"/>
  <c r="AY6" i="3" s="1"/>
  <c r="AX33" i="2"/>
  <c r="F26" i="8"/>
  <c r="F33" i="8" s="1"/>
  <c r="AX12" i="3"/>
  <c r="AY12" i="2"/>
  <c r="AZ22" i="4"/>
  <c r="AZ23" i="6"/>
  <c r="AZ25" i="6" s="1"/>
  <c r="AZ6" i="2" s="1"/>
  <c r="AV25" i="3"/>
  <c r="AV29" i="3"/>
  <c r="AV31" i="3" s="1"/>
  <c r="F36" i="8" l="1"/>
  <c r="AX7" i="9"/>
  <c r="AX9" i="9" s="1"/>
  <c r="F5" i="10"/>
  <c r="F6" i="10"/>
  <c r="AX14" i="9"/>
  <c r="AX35" i="2"/>
  <c r="AX19" i="3" s="1"/>
  <c r="AX20" i="3" s="1"/>
  <c r="AY14" i="7"/>
  <c r="AY38" i="2" s="1"/>
  <c r="AZ13" i="6"/>
  <c r="BA3" i="6" s="1"/>
  <c r="F9" i="11"/>
  <c r="AZ13" i="2"/>
  <c r="AV32" i="3"/>
  <c r="AV33" i="3" s="1"/>
  <c r="AV34" i="3" s="1"/>
  <c r="AY29" i="7"/>
  <c r="AY30" i="7" s="1"/>
  <c r="AY26" i="2" s="1"/>
  <c r="AX13" i="9"/>
  <c r="F13" i="11"/>
  <c r="AX15" i="3"/>
  <c r="F15" i="10" s="1"/>
  <c r="F12" i="10"/>
  <c r="AX3" i="9"/>
  <c r="AW4" i="3"/>
  <c r="AW9" i="3" s="1"/>
  <c r="AY14" i="2"/>
  <c r="AY16" i="2" s="1"/>
  <c r="AY23" i="2" s="1"/>
  <c r="AZ11" i="2"/>
  <c r="AZ28" i="6"/>
  <c r="AZ31" i="6" s="1"/>
  <c r="AZ7" i="2" s="1"/>
  <c r="AY5" i="3"/>
  <c r="AY6" i="9"/>
  <c r="AX12" i="9"/>
  <c r="AX37" i="2"/>
  <c r="AW29" i="9"/>
  <c r="F19" i="10" l="1"/>
  <c r="AY28" i="2"/>
  <c r="AY32" i="2"/>
  <c r="AY31" i="2"/>
  <c r="AY27" i="2"/>
  <c r="AY30" i="2"/>
  <c r="AZ21" i="6"/>
  <c r="AZ5" i="2" s="1"/>
  <c r="AZ17" i="6"/>
  <c r="AZ4" i="2" s="1"/>
  <c r="AZ12" i="2" s="1"/>
  <c r="AZ14" i="2" s="1"/>
  <c r="AZ13" i="7"/>
  <c r="AZ14" i="7" s="1"/>
  <c r="BA19" i="4"/>
  <c r="BA9" i="6" s="1"/>
  <c r="BA10" i="6" s="1"/>
  <c r="AV26" i="3"/>
  <c r="AX18" i="9"/>
  <c r="AX20" i="9" s="1"/>
  <c r="AX27" i="9" s="1"/>
  <c r="F12" i="11"/>
  <c r="F18" i="11" s="1"/>
  <c r="F20" i="10"/>
  <c r="AX22" i="3"/>
  <c r="F22" i="10" s="1"/>
  <c r="AW25" i="3"/>
  <c r="AW29" i="3"/>
  <c r="AW31" i="3" s="1"/>
  <c r="AY14" i="9"/>
  <c r="AY7" i="9"/>
  <c r="AY9" i="9" s="1"/>
  <c r="BA12" i="6"/>
  <c r="BA23" i="6" l="1"/>
  <c r="BA25" i="6" s="1"/>
  <c r="BA6" i="2" s="1"/>
  <c r="AY12" i="3"/>
  <c r="AY13" i="9" s="1"/>
  <c r="AY33" i="2"/>
  <c r="AY35" i="2" s="1"/>
  <c r="AY19" i="3" s="1"/>
  <c r="AY20" i="3" s="1"/>
  <c r="BA13" i="6"/>
  <c r="BA21" i="6" s="1"/>
  <c r="BA5" i="2" s="1"/>
  <c r="AZ26" i="7"/>
  <c r="AZ28" i="7" s="1"/>
  <c r="AZ29" i="7" s="1"/>
  <c r="AZ30" i="7" s="1"/>
  <c r="AZ26" i="2" s="1"/>
  <c r="BA22" i="4"/>
  <c r="BA11" i="2" s="1"/>
  <c r="AZ8" i="2"/>
  <c r="AW32" i="3"/>
  <c r="AW33" i="3" s="1"/>
  <c r="AW34" i="3" s="1"/>
  <c r="BA13" i="2"/>
  <c r="F27" i="11"/>
  <c r="AX4" i="3"/>
  <c r="AY3" i="9"/>
  <c r="F29" i="11"/>
  <c r="AZ31" i="2"/>
  <c r="AZ30" i="2"/>
  <c r="AZ28" i="2"/>
  <c r="AZ38" i="2"/>
  <c r="AZ32" i="2"/>
  <c r="AZ27" i="2"/>
  <c r="AX29" i="9"/>
  <c r="BA28" i="6" l="1"/>
  <c r="BA31" i="6" s="1"/>
  <c r="BA7" i="2" s="1"/>
  <c r="AY37" i="2"/>
  <c r="AZ5" i="3"/>
  <c r="AZ7" i="9" s="1"/>
  <c r="AZ6" i="3"/>
  <c r="AZ14" i="9" s="1"/>
  <c r="AY15" i="3"/>
  <c r="AY22" i="3" s="1"/>
  <c r="AY12" i="9"/>
  <c r="AY18" i="9" s="1"/>
  <c r="AY20" i="9" s="1"/>
  <c r="AY27" i="9" s="1"/>
  <c r="BB19" i="4"/>
  <c r="BB9" i="6" s="1"/>
  <c r="BB10" i="6" s="1"/>
  <c r="BA13" i="7"/>
  <c r="BA14" i="7" s="1"/>
  <c r="AZ16" i="2"/>
  <c r="AZ23" i="2" s="1"/>
  <c r="AZ6" i="9"/>
  <c r="BA17" i="6"/>
  <c r="BA4" i="2" s="1"/>
  <c r="BA12" i="2" s="1"/>
  <c r="BA14" i="2" s="1"/>
  <c r="BB3" i="6"/>
  <c r="BB12" i="6" s="1"/>
  <c r="AW26" i="3"/>
  <c r="G3" i="11"/>
  <c r="AZ12" i="3"/>
  <c r="AZ33" i="2"/>
  <c r="F4" i="10"/>
  <c r="AX9" i="3"/>
  <c r="BB22" i="4" l="1"/>
  <c r="BB23" i="6"/>
  <c r="BB25" i="6" s="1"/>
  <c r="BB6" i="2" s="1"/>
  <c r="BB13" i="2" s="1"/>
  <c r="AZ9" i="9"/>
  <c r="BA26" i="7"/>
  <c r="BA28" i="7" s="1"/>
  <c r="BA29" i="7" s="1"/>
  <c r="BA30" i="7" s="1"/>
  <c r="BA26" i="2" s="1"/>
  <c r="BB13" i="6"/>
  <c r="BB21" i="6" s="1"/>
  <c r="BB5" i="2" s="1"/>
  <c r="BA8" i="2"/>
  <c r="BA6" i="3" s="1"/>
  <c r="BB28" i="6"/>
  <c r="BB31" i="6" s="1"/>
  <c r="BB7" i="2" s="1"/>
  <c r="BB11" i="2"/>
  <c r="F9" i="10"/>
  <c r="AX25" i="3"/>
  <c r="AX29" i="3"/>
  <c r="AX31" i="3" s="1"/>
  <c r="AZ37" i="2"/>
  <c r="AZ12" i="9"/>
  <c r="BA30" i="2"/>
  <c r="BA32" i="2"/>
  <c r="BA27" i="2"/>
  <c r="BA38" i="2"/>
  <c r="BA28" i="2"/>
  <c r="BA31" i="2"/>
  <c r="AY4" i="3"/>
  <c r="AY9" i="3" s="1"/>
  <c r="AZ3" i="9"/>
  <c r="AY29" i="9"/>
  <c r="AZ35" i="2"/>
  <c r="AZ19" i="3" s="1"/>
  <c r="AZ13" i="9"/>
  <c r="AZ15" i="3"/>
  <c r="BA6" i="9" l="1"/>
  <c r="BA16" i="2"/>
  <c r="BA23" i="2" s="1"/>
  <c r="BA5" i="3"/>
  <c r="BA7" i="9" s="1"/>
  <c r="BC19" i="4"/>
  <c r="BC9" i="6" s="1"/>
  <c r="BC10" i="6" s="1"/>
  <c r="BB13" i="7"/>
  <c r="BB14" i="7" s="1"/>
  <c r="BC3" i="6"/>
  <c r="BC12" i="6" s="1"/>
  <c r="BB17" i="6"/>
  <c r="BB4" i="2" s="1"/>
  <c r="BB12" i="2" s="1"/>
  <c r="BB14" i="2" s="1"/>
  <c r="BA33" i="2"/>
  <c r="BA14" i="9"/>
  <c r="AZ18" i="9"/>
  <c r="AZ20" i="9" s="1"/>
  <c r="AZ27" i="9" s="1"/>
  <c r="AZ20" i="3"/>
  <c r="AZ22" i="3" s="1"/>
  <c r="AY25" i="3"/>
  <c r="AY29" i="3"/>
  <c r="AY31" i="3" s="1"/>
  <c r="AX32" i="3"/>
  <c r="AX33" i="3" s="1"/>
  <c r="AX34" i="3" s="1"/>
  <c r="BA12" i="3"/>
  <c r="BB8" i="2" l="1"/>
  <c r="BB6" i="3" s="1"/>
  <c r="BA35" i="2"/>
  <c r="BA19" i="3" s="1"/>
  <c r="BA20" i="3" s="1"/>
  <c r="BA9" i="9"/>
  <c r="BC23" i="6"/>
  <c r="BC25" i="6" s="1"/>
  <c r="BC6" i="2" s="1"/>
  <c r="BC13" i="2" s="1"/>
  <c r="BC22" i="4"/>
  <c r="BC28" i="6" s="1"/>
  <c r="BC31" i="6" s="1"/>
  <c r="BC7" i="2" s="1"/>
  <c r="BB26" i="7"/>
  <c r="BB28" i="7" s="1"/>
  <c r="BB29" i="7" s="1"/>
  <c r="BB30" i="7" s="1"/>
  <c r="BB26" i="2" s="1"/>
  <c r="BC13" i="6"/>
  <c r="BD19" i="4" s="1"/>
  <c r="BD9" i="6" s="1"/>
  <c r="BD10" i="6" s="1"/>
  <c r="BB5" i="3"/>
  <c r="BB6" i="9"/>
  <c r="BB16" i="2"/>
  <c r="BB23" i="2" s="1"/>
  <c r="AZ4" i="3"/>
  <c r="AZ9" i="3" s="1"/>
  <c r="BA3" i="9"/>
  <c r="BA13" i="9"/>
  <c r="BA15" i="3"/>
  <c r="AY32" i="3"/>
  <c r="AY33" i="3" s="1"/>
  <c r="AY34" i="3" s="1"/>
  <c r="AX26" i="3"/>
  <c r="BB30" i="2"/>
  <c r="BB28" i="2"/>
  <c r="BB27" i="2"/>
  <c r="BB31" i="2"/>
  <c r="BB32" i="2"/>
  <c r="BB38" i="2"/>
  <c r="AZ29" i="9"/>
  <c r="BA12" i="9"/>
  <c r="BA37" i="2"/>
  <c r="BC11" i="2" l="1"/>
  <c r="BC13" i="7"/>
  <c r="BC26" i="7" s="1"/>
  <c r="BC28" i="7" s="1"/>
  <c r="BC21" i="6"/>
  <c r="BC5" i="2" s="1"/>
  <c r="BC17" i="6"/>
  <c r="BC4" i="2" s="1"/>
  <c r="BC12" i="2" s="1"/>
  <c r="BD3" i="6"/>
  <c r="BD12" i="6" s="1"/>
  <c r="BB12" i="3"/>
  <c r="BB15" i="3" s="1"/>
  <c r="AY26" i="3"/>
  <c r="BA18" i="9"/>
  <c r="BA20" i="9" s="1"/>
  <c r="BA27" i="9" s="1"/>
  <c r="BB14" i="9"/>
  <c r="BA22" i="3"/>
  <c r="BB33" i="2"/>
  <c r="BB35" i="2" s="1"/>
  <c r="BB19" i="3" s="1"/>
  <c r="AZ25" i="3"/>
  <c r="AZ29" i="3"/>
  <c r="AZ31" i="3" s="1"/>
  <c r="BB7" i="9"/>
  <c r="BB9" i="9" s="1"/>
  <c r="BD23" i="6"/>
  <c r="BD25" i="6" s="1"/>
  <c r="BD6" i="2" s="1"/>
  <c r="BD13" i="2" s="1"/>
  <c r="BD22" i="4"/>
  <c r="BC14" i="7" l="1"/>
  <c r="BC31" i="2" s="1"/>
  <c r="BC14" i="2"/>
  <c r="BC8" i="2"/>
  <c r="BC6" i="3" s="1"/>
  <c r="BD13" i="6"/>
  <c r="BD17" i="6" s="1"/>
  <c r="BD4" i="2" s="1"/>
  <c r="BB13" i="9"/>
  <c r="BB20" i="3"/>
  <c r="BB22" i="3" s="1"/>
  <c r="BC38" i="2"/>
  <c r="BA4" i="3"/>
  <c r="BA9" i="3" s="1"/>
  <c r="BB3" i="9"/>
  <c r="BD11" i="2"/>
  <c r="BD28" i="6"/>
  <c r="BD31" i="6" s="1"/>
  <c r="BD7" i="2" s="1"/>
  <c r="BB12" i="9"/>
  <c r="BB37" i="2"/>
  <c r="BC29" i="7"/>
  <c r="BC30" i="7" s="1"/>
  <c r="BC26" i="2" s="1"/>
  <c r="AZ32" i="3"/>
  <c r="AZ33" i="3" s="1"/>
  <c r="AZ34" i="3" s="1"/>
  <c r="BA29" i="9"/>
  <c r="BC27" i="2" l="1"/>
  <c r="BC30" i="2"/>
  <c r="BC28" i="2"/>
  <c r="BC32" i="2"/>
  <c r="BC5" i="3"/>
  <c r="BC7" i="9" s="1"/>
  <c r="BC6" i="9"/>
  <c r="BC16" i="2"/>
  <c r="BC23" i="2" s="1"/>
  <c r="BE19" i="4"/>
  <c r="BE9" i="6" s="1"/>
  <c r="BE10" i="6" s="1"/>
  <c r="BD13" i="7"/>
  <c r="BD26" i="7" s="1"/>
  <c r="BD28" i="7" s="1"/>
  <c r="BD21" i="6"/>
  <c r="BD5" i="2" s="1"/>
  <c r="BD8" i="2" s="1"/>
  <c r="BD6" i="3" s="1"/>
  <c r="BE3" i="6"/>
  <c r="BE12" i="6" s="1"/>
  <c r="BC12" i="3"/>
  <c r="BC13" i="9" s="1"/>
  <c r="AZ26" i="3"/>
  <c r="BC14" i="9"/>
  <c r="BB18" i="9"/>
  <c r="BB20" i="9" s="1"/>
  <c r="BB27" i="9" s="1"/>
  <c r="BA25" i="3"/>
  <c r="BA29" i="3"/>
  <c r="BA31" i="3" s="1"/>
  <c r="BD12" i="2"/>
  <c r="BD14" i="2" s="1"/>
  <c r="BC33" i="2" l="1"/>
  <c r="BC9" i="9"/>
  <c r="BC35" i="2"/>
  <c r="BC19" i="3" s="1"/>
  <c r="BC20" i="3" s="1"/>
  <c r="BE22" i="4"/>
  <c r="BE11" i="2" s="1"/>
  <c r="BE23" i="6"/>
  <c r="BE25" i="6" s="1"/>
  <c r="BE6" i="2" s="1"/>
  <c r="BE13" i="2" s="1"/>
  <c r="BD14" i="7"/>
  <c r="BD27" i="2" s="1"/>
  <c r="BE13" i="6"/>
  <c r="BE17" i="6" s="1"/>
  <c r="BE4" i="2" s="1"/>
  <c r="BC15" i="3"/>
  <c r="BD5" i="3"/>
  <c r="BD16" i="2"/>
  <c r="BD23" i="2" s="1"/>
  <c r="BD6" i="9"/>
  <c r="BA32" i="3"/>
  <c r="BA33" i="3" s="1"/>
  <c r="BA34" i="3" s="1"/>
  <c r="BB4" i="3"/>
  <c r="BB9" i="3" s="1"/>
  <c r="BC3" i="9"/>
  <c r="BB29" i="9"/>
  <c r="BD29" i="7"/>
  <c r="BD30" i="7" s="1"/>
  <c r="BD26" i="2" s="1"/>
  <c r="BC12" i="9"/>
  <c r="BC37" i="2"/>
  <c r="BE28" i="6" l="1"/>
  <c r="BE31" i="6" s="1"/>
  <c r="BE7" i="2" s="1"/>
  <c r="BD38" i="2"/>
  <c r="BF19" i="4"/>
  <c r="BF9" i="6" s="1"/>
  <c r="BF10" i="6" s="1"/>
  <c r="BD32" i="2"/>
  <c r="BD28" i="2"/>
  <c r="BD31" i="2"/>
  <c r="BD30" i="2"/>
  <c r="BE13" i="7"/>
  <c r="BE26" i="7" s="1"/>
  <c r="BE28" i="7" s="1"/>
  <c r="BE21" i="6"/>
  <c r="BE5" i="2" s="1"/>
  <c r="BE8" i="2" s="1"/>
  <c r="BE6" i="3" s="1"/>
  <c r="BF3" i="6"/>
  <c r="BF12" i="6" s="1"/>
  <c r="BC22" i="3"/>
  <c r="BA26" i="3"/>
  <c r="BE12" i="2"/>
  <c r="BE14" i="2" s="1"/>
  <c r="BB25" i="3"/>
  <c r="BB29" i="3"/>
  <c r="BB31" i="3" s="1"/>
  <c r="BC18" i="9"/>
  <c r="BC20" i="9" s="1"/>
  <c r="BC27" i="9" s="1"/>
  <c r="BD14" i="9"/>
  <c r="BD7" i="9"/>
  <c r="BD9" i="9" s="1"/>
  <c r="BF22" i="4" l="1"/>
  <c r="BF13" i="6"/>
  <c r="BF23" i="6"/>
  <c r="BF25" i="6" s="1"/>
  <c r="BF6" i="2" s="1"/>
  <c r="BF13" i="2" s="1"/>
  <c r="BD33" i="2"/>
  <c r="BD37" i="2" s="1"/>
  <c r="BD12" i="3"/>
  <c r="BD13" i="9" s="1"/>
  <c r="BE14" i="7"/>
  <c r="BE32" i="2" s="1"/>
  <c r="BF28" i="6"/>
  <c r="BF31" i="6" s="1"/>
  <c r="BF7" i="2" s="1"/>
  <c r="BF11" i="2"/>
  <c r="BB32" i="3"/>
  <c r="BB33" i="3" s="1"/>
  <c r="BB34" i="3" s="1"/>
  <c r="BE29" i="7"/>
  <c r="BE30" i="7" s="1"/>
  <c r="BE26" i="2" s="1"/>
  <c r="BE5" i="3"/>
  <c r="BE16" i="2"/>
  <c r="BE23" i="2" s="1"/>
  <c r="BE6" i="9"/>
  <c r="BD3" i="9"/>
  <c r="BC4" i="3"/>
  <c r="BC9" i="3" s="1"/>
  <c r="BC29" i="9"/>
  <c r="BG3" i="6" l="1"/>
  <c r="BG19" i="4"/>
  <c r="BG9" i="6" s="1"/>
  <c r="BG10" i="6" s="1"/>
  <c r="BD35" i="2"/>
  <c r="BD19" i="3" s="1"/>
  <c r="BD20" i="3" s="1"/>
  <c r="BD12" i="9"/>
  <c r="BD18" i="9" s="1"/>
  <c r="BD20" i="9" s="1"/>
  <c r="BD27" i="9" s="1"/>
  <c r="BD29" i="9" s="1"/>
  <c r="BE30" i="2"/>
  <c r="BF13" i="7"/>
  <c r="BF26" i="7" s="1"/>
  <c r="BF28" i="7" s="1"/>
  <c r="BF17" i="6"/>
  <c r="BF4" i="2" s="1"/>
  <c r="BF12" i="2" s="1"/>
  <c r="BF14" i="2" s="1"/>
  <c r="BE28" i="2"/>
  <c r="BF21" i="6"/>
  <c r="BF5" i="2" s="1"/>
  <c r="BE31" i="2"/>
  <c r="BE38" i="2"/>
  <c r="BE27" i="2"/>
  <c r="BD15" i="3"/>
  <c r="BB26" i="3"/>
  <c r="BE14" i="9"/>
  <c r="BG12" i="6"/>
  <c r="BC25" i="3"/>
  <c r="BC29" i="3"/>
  <c r="BC31" i="3" s="1"/>
  <c r="BG23" i="6"/>
  <c r="BG25" i="6" s="1"/>
  <c r="BG6" i="2" s="1"/>
  <c r="BG13" i="2" s="1"/>
  <c r="BE7" i="9"/>
  <c r="BE9" i="9" s="1"/>
  <c r="BF14" i="7" l="1"/>
  <c r="BG22" i="4"/>
  <c r="BD22" i="3"/>
  <c r="BF8" i="2"/>
  <c r="BF6" i="3" s="1"/>
  <c r="BE33" i="2"/>
  <c r="BE37" i="2" s="1"/>
  <c r="BE12" i="3"/>
  <c r="BE15" i="3" s="1"/>
  <c r="BG13" i="6"/>
  <c r="BG17" i="6" s="1"/>
  <c r="BG4" i="2" s="1"/>
  <c r="BC32" i="3"/>
  <c r="BC33" i="3" s="1"/>
  <c r="BC34" i="3" s="1"/>
  <c r="BF29" i="7"/>
  <c r="BF30" i="7" s="1"/>
  <c r="BF26" i="2" s="1"/>
  <c r="BD4" i="3"/>
  <c r="BD9" i="3" s="1"/>
  <c r="BE3" i="9"/>
  <c r="BF31" i="2"/>
  <c r="BF32" i="2"/>
  <c r="BF28" i="2"/>
  <c r="BF30" i="2"/>
  <c r="BF38" i="2"/>
  <c r="BF27" i="2"/>
  <c r="BG28" i="6"/>
  <c r="BG31" i="6" s="1"/>
  <c r="BG7" i="2" s="1"/>
  <c r="BG11" i="2"/>
  <c r="BE12" i="9" l="1"/>
  <c r="BF5" i="3"/>
  <c r="BE35" i="2"/>
  <c r="BE19" i="3" s="1"/>
  <c r="BE20" i="3" s="1"/>
  <c r="BE22" i="3" s="1"/>
  <c r="BE13" i="9"/>
  <c r="BF16" i="2"/>
  <c r="BF23" i="2" s="1"/>
  <c r="BF6" i="9"/>
  <c r="BH3" i="6"/>
  <c r="BH12" i="6" s="1"/>
  <c r="BH19" i="4"/>
  <c r="BH9" i="6" s="1"/>
  <c r="BH10" i="6" s="1"/>
  <c r="BG13" i="7"/>
  <c r="BG26" i="7" s="1"/>
  <c r="BG28" i="7" s="1"/>
  <c r="BG21" i="6"/>
  <c r="BG5" i="2" s="1"/>
  <c r="BG8" i="2" s="1"/>
  <c r="BG6" i="3" s="1"/>
  <c r="BF33" i="2"/>
  <c r="BF37" i="2" s="1"/>
  <c r="BF12" i="3"/>
  <c r="BF13" i="9" s="1"/>
  <c r="BC26" i="3"/>
  <c r="BD29" i="3"/>
  <c r="BD31" i="3" s="1"/>
  <c r="BD25" i="3"/>
  <c r="BF14" i="9"/>
  <c r="BG12" i="2"/>
  <c r="BG14" i="2" s="1"/>
  <c r="BF7" i="9"/>
  <c r="BH23" i="6" l="1"/>
  <c r="BH25" i="6" s="1"/>
  <c r="BH6" i="2" s="1"/>
  <c r="BH13" i="2" s="1"/>
  <c r="BE18" i="9"/>
  <c r="BE20" i="9" s="1"/>
  <c r="BE27" i="9" s="1"/>
  <c r="BE29" i="9" s="1"/>
  <c r="BF9" i="9"/>
  <c r="BH13" i="6"/>
  <c r="BI3" i="6" s="1"/>
  <c r="BG14" i="7"/>
  <c r="BG38" i="2" s="1"/>
  <c r="BH22" i="4"/>
  <c r="BH28" i="6" s="1"/>
  <c r="BH31" i="6" s="1"/>
  <c r="BH7" i="2" s="1"/>
  <c r="BF35" i="2"/>
  <c r="BF19" i="3" s="1"/>
  <c r="BF20" i="3" s="1"/>
  <c r="BF12" i="9"/>
  <c r="BF18" i="9" s="1"/>
  <c r="BF15" i="3"/>
  <c r="BD32" i="3"/>
  <c r="BD33" i="3" s="1"/>
  <c r="BD34" i="3" s="1"/>
  <c r="BG29" i="7"/>
  <c r="BG30" i="7" s="1"/>
  <c r="BG26" i="2" s="1"/>
  <c r="BG5" i="3"/>
  <c r="BG16" i="2"/>
  <c r="BG23" i="2" s="1"/>
  <c r="BG6" i="9"/>
  <c r="BF3" i="9" l="1"/>
  <c r="BE4" i="3"/>
  <c r="BE9" i="3" s="1"/>
  <c r="BE25" i="3" s="1"/>
  <c r="BH11" i="2"/>
  <c r="BF20" i="9"/>
  <c r="BF27" i="9" s="1"/>
  <c r="BF29" i="9" s="1"/>
  <c r="BG30" i="2"/>
  <c r="BG31" i="2"/>
  <c r="BG32" i="2"/>
  <c r="BG27" i="2"/>
  <c r="BG28" i="2"/>
  <c r="BI19" i="4"/>
  <c r="BI9" i="6" s="1"/>
  <c r="BI10" i="6" s="1"/>
  <c r="BH13" i="7"/>
  <c r="BH26" i="7" s="1"/>
  <c r="BH28" i="7" s="1"/>
  <c r="BH17" i="6"/>
  <c r="BH4" i="2" s="1"/>
  <c r="BH12" i="2" s="1"/>
  <c r="BH14" i="2" s="1"/>
  <c r="BH21" i="6"/>
  <c r="BH5" i="2" s="1"/>
  <c r="BF22" i="3"/>
  <c r="BG7" i="9"/>
  <c r="BG9" i="9" s="1"/>
  <c r="BG14" i="9"/>
  <c r="BD26" i="3"/>
  <c r="BI12" i="6"/>
  <c r="BE29" i="3"/>
  <c r="BE31" i="3" s="1"/>
  <c r="BI23" i="6" l="1"/>
  <c r="BI25" i="6" s="1"/>
  <c r="BI6" i="2" s="1"/>
  <c r="BI13" i="2" s="1"/>
  <c r="BI13" i="6"/>
  <c r="BG33" i="2"/>
  <c r="BG12" i="9" s="1"/>
  <c r="BI22" i="4"/>
  <c r="BI28" i="6" s="1"/>
  <c r="BI31" i="6" s="1"/>
  <c r="BI7" i="2" s="1"/>
  <c r="BH14" i="7"/>
  <c r="BH27" i="2" s="1"/>
  <c r="BG12" i="3"/>
  <c r="BG15" i="3" s="1"/>
  <c r="BH8" i="2"/>
  <c r="BH6" i="3" s="1"/>
  <c r="BF4" i="3"/>
  <c r="BF9" i="3" s="1"/>
  <c r="BF29" i="3" s="1"/>
  <c r="BF31" i="3" s="1"/>
  <c r="BG3" i="9"/>
  <c r="BE32" i="3"/>
  <c r="BE33" i="3" s="1"/>
  <c r="BE34" i="3" s="1"/>
  <c r="BH29" i="7"/>
  <c r="BH30" i="7" s="1"/>
  <c r="BH26" i="2" s="1"/>
  <c r="BI11" i="2" l="1"/>
  <c r="BG35" i="2"/>
  <c r="BG19" i="3" s="1"/>
  <c r="BG20" i="3" s="1"/>
  <c r="BG22" i="3" s="1"/>
  <c r="BG37" i="2"/>
  <c r="BH31" i="2"/>
  <c r="BH32" i="2"/>
  <c r="BH28" i="2"/>
  <c r="BH30" i="2"/>
  <c r="BH38" i="2"/>
  <c r="BG13" i="9"/>
  <c r="BG18" i="9" s="1"/>
  <c r="BG20" i="9" s="1"/>
  <c r="BG27" i="9" s="1"/>
  <c r="BG29" i="9" s="1"/>
  <c r="BI21" i="6"/>
  <c r="BI5" i="2" s="1"/>
  <c r="BJ19" i="4"/>
  <c r="BJ9" i="6" s="1"/>
  <c r="BJ10" i="6" s="1"/>
  <c r="BH5" i="3"/>
  <c r="BH7" i="9" s="1"/>
  <c r="BH16" i="2"/>
  <c r="BH23" i="2" s="1"/>
  <c r="BI17" i="6"/>
  <c r="BI4" i="2" s="1"/>
  <c r="BH6" i="9"/>
  <c r="BI13" i="7"/>
  <c r="BI14" i="7" s="1"/>
  <c r="BJ3" i="6"/>
  <c r="BJ12" i="6" s="1"/>
  <c r="BF25" i="3"/>
  <c r="BE26" i="3"/>
  <c r="BF32" i="3"/>
  <c r="BF33" i="3" s="1"/>
  <c r="BF34" i="3" s="1"/>
  <c r="BH14" i="9"/>
  <c r="BI8" i="2" l="1"/>
  <c r="BI6" i="3" s="1"/>
  <c r="BJ23" i="6"/>
  <c r="BJ25" i="6" s="1"/>
  <c r="BJ6" i="2" s="1"/>
  <c r="BH33" i="2"/>
  <c r="BH35" i="2" s="1"/>
  <c r="BH19" i="3" s="1"/>
  <c r="BH20" i="3" s="1"/>
  <c r="BH12" i="3"/>
  <c r="BH15" i="3" s="1"/>
  <c r="BJ22" i="4"/>
  <c r="BJ11" i="2" s="1"/>
  <c r="BI12" i="2"/>
  <c r="BI14" i="2" s="1"/>
  <c r="BI16" i="2" s="1"/>
  <c r="BI23" i="2" s="1"/>
  <c r="BJ13" i="6"/>
  <c r="BJ17" i="6" s="1"/>
  <c r="BJ4" i="2" s="1"/>
  <c r="BH9" i="9"/>
  <c r="BI26" i="7"/>
  <c r="BI28" i="7" s="1"/>
  <c r="BI29" i="7" s="1"/>
  <c r="BI30" i="7" s="1"/>
  <c r="BI26" i="2" s="1"/>
  <c r="BG4" i="3"/>
  <c r="BG9" i="3" s="1"/>
  <c r="BG29" i="3" s="1"/>
  <c r="BG31" i="3" s="1"/>
  <c r="BH3" i="9"/>
  <c r="BF26" i="3"/>
  <c r="BI6" i="9"/>
  <c r="BI5" i="3"/>
  <c r="BI28" i="2"/>
  <c r="BI38" i="2"/>
  <c r="BI27" i="2"/>
  <c r="BI30" i="2"/>
  <c r="BI31" i="2"/>
  <c r="BI32" i="2"/>
  <c r="BJ13" i="2"/>
  <c r="G13" i="8" s="1"/>
  <c r="G6" i="8"/>
  <c r="BH12" i="9"/>
  <c r="BJ21" i="6" l="1"/>
  <c r="BJ5" i="2" s="1"/>
  <c r="G5" i="8" s="1"/>
  <c r="BH37" i="2"/>
  <c r="BJ28" i="6"/>
  <c r="BJ31" i="6" s="1"/>
  <c r="BJ7" i="2" s="1"/>
  <c r="G7" i="8" s="1"/>
  <c r="BH13" i="9"/>
  <c r="BH18" i="9" s="1"/>
  <c r="BH20" i="9" s="1"/>
  <c r="BH27" i="9" s="1"/>
  <c r="BH29" i="9" s="1"/>
  <c r="BJ13" i="7"/>
  <c r="BJ14" i="7" s="1"/>
  <c r="BH22" i="3"/>
  <c r="BG25" i="3"/>
  <c r="BI12" i="3"/>
  <c r="BI15" i="3" s="1"/>
  <c r="BI33" i="2"/>
  <c r="BI35" i="2" s="1"/>
  <c r="BI19" i="3" s="1"/>
  <c r="BG32" i="3"/>
  <c r="BG33" i="3" s="1"/>
  <c r="BG34" i="3" s="1"/>
  <c r="BJ12" i="2"/>
  <c r="G12" i="8" s="1"/>
  <c r="G4" i="8"/>
  <c r="BI7" i="9"/>
  <c r="BI9" i="9" s="1"/>
  <c r="G11" i="8"/>
  <c r="BI14" i="9"/>
  <c r="BJ8" i="2" l="1"/>
  <c r="BJ6" i="3" s="1"/>
  <c r="G8" i="8"/>
  <c r="BJ26" i="7"/>
  <c r="BJ28" i="7" s="1"/>
  <c r="BI13" i="9"/>
  <c r="BJ27" i="2"/>
  <c r="G27" i="8" s="1"/>
  <c r="BJ30" i="2"/>
  <c r="G30" i="8" s="1"/>
  <c r="BJ32" i="2"/>
  <c r="G32" i="8" s="1"/>
  <c r="BJ31" i="2"/>
  <c r="G31" i="8" s="1"/>
  <c r="BJ28" i="2"/>
  <c r="G28" i="8" s="1"/>
  <c r="BJ38" i="2"/>
  <c r="G35" i="8" s="1"/>
  <c r="G14" i="8"/>
  <c r="G16" i="8" s="1"/>
  <c r="G23" i="8" s="1"/>
  <c r="BJ14" i="2"/>
  <c r="BJ16" i="2" s="1"/>
  <c r="BJ23" i="2" s="1"/>
  <c r="BJ5" i="3"/>
  <c r="BJ6" i="9"/>
  <c r="BG26" i="3"/>
  <c r="BH4" i="3"/>
  <c r="BH9" i="3" s="1"/>
  <c r="BI3" i="9"/>
  <c r="BI20" i="3"/>
  <c r="BI22" i="3" s="1"/>
  <c r="BJ29" i="7"/>
  <c r="BJ30" i="7" s="1"/>
  <c r="BJ26" i="2" s="1"/>
  <c r="BI37" i="2"/>
  <c r="BI12" i="9"/>
  <c r="BI18" i="9" l="1"/>
  <c r="BI20" i="9" s="1"/>
  <c r="BI27" i="9" s="1"/>
  <c r="BI29" i="9" s="1"/>
  <c r="G6" i="11"/>
  <c r="BJ33" i="2"/>
  <c r="BJ35" i="2" s="1"/>
  <c r="BJ19" i="3" s="1"/>
  <c r="G26" i="8"/>
  <c r="G33" i="8" s="1"/>
  <c r="G36" i="8" s="1"/>
  <c r="BH29" i="3"/>
  <c r="BH31" i="3" s="1"/>
  <c r="BH25" i="3"/>
  <c r="G6" i="10"/>
  <c r="G14" i="11"/>
  <c r="BJ14" i="9"/>
  <c r="G5" i="10"/>
  <c r="G7" i="11"/>
  <c r="BJ7" i="9"/>
  <c r="BJ9" i="9" s="1"/>
  <c r="BJ12" i="3"/>
  <c r="BJ12" i="9" l="1"/>
  <c r="BJ37" i="2"/>
  <c r="BJ13" i="9"/>
  <c r="G13" i="11"/>
  <c r="G12" i="10"/>
  <c r="BJ15" i="3"/>
  <c r="G15" i="10" s="1"/>
  <c r="G19" i="10"/>
  <c r="BJ20" i="3"/>
  <c r="G9" i="11"/>
  <c r="BH32" i="3"/>
  <c r="BH33" i="3" s="1"/>
  <c r="BH34" i="3" s="1"/>
  <c r="BI4" i="3"/>
  <c r="BI9" i="3" s="1"/>
  <c r="BJ3" i="9"/>
  <c r="G12" i="11"/>
  <c r="BJ18" i="9" l="1"/>
  <c r="BJ20" i="9" s="1"/>
  <c r="BJ27" i="9" s="1"/>
  <c r="BJ29" i="9" s="1"/>
  <c r="G18" i="11"/>
  <c r="BI25" i="3"/>
  <c r="BI29" i="3"/>
  <c r="BI31" i="3" s="1"/>
  <c r="G20" i="10"/>
  <c r="BJ22" i="3"/>
  <c r="G22" i="10" s="1"/>
  <c r="BH26" i="3"/>
  <c r="BI32" i="3" l="1"/>
  <c r="BI33" i="3" s="1"/>
  <c r="BI34" i="3" s="1"/>
  <c r="G27" i="11"/>
  <c r="BJ4" i="3"/>
  <c r="G29" i="11"/>
  <c r="BI26" i="3" l="1"/>
  <c r="G4" i="10"/>
  <c r="BJ9" i="3"/>
  <c r="G9" i="10" l="1"/>
  <c r="BJ25" i="3"/>
  <c r="BJ29" i="3"/>
  <c r="BJ31" i="3" s="1"/>
  <c r="BJ32" i="3" l="1"/>
  <c r="BJ33" i="3" s="1"/>
  <c r="BJ34" i="3" s="1"/>
  <c r="BJ26" i="3" s="1"/>
</calcChain>
</file>

<file path=xl/sharedStrings.xml><?xml version="1.0" encoding="utf-8"?>
<sst xmlns="http://schemas.openxmlformats.org/spreadsheetml/2006/main" count="291" uniqueCount="209">
  <si>
    <t xml:space="preserve">Month </t>
  </si>
  <si>
    <t>ASSUMPTIONS</t>
  </si>
  <si>
    <t>Balance Sheet</t>
  </si>
  <si>
    <t>Traffic Detail</t>
  </si>
  <si>
    <t>Monthly CPC Spend</t>
  </si>
  <si>
    <t>Average CPC on Facebook</t>
  </si>
  <si>
    <t>Monthly Facebook Spend</t>
  </si>
  <si>
    <t>Visits per FB Post with Picture</t>
  </si>
  <si>
    <t>Visits per FB Post with Video</t>
  </si>
  <si>
    <t>Facebook Picture Posts</t>
  </si>
  <si>
    <t>Facebook Video Posts</t>
  </si>
  <si>
    <t>Beginning Subscribers</t>
  </si>
  <si>
    <t>New Subscribers</t>
  </si>
  <si>
    <t>Lost Subscribers</t>
  </si>
  <si>
    <t>Ending Subscribers</t>
  </si>
  <si>
    <t>Sales</t>
  </si>
  <si>
    <t>Average Subscription</t>
  </si>
  <si>
    <t>Percentage of Add Ons</t>
  </si>
  <si>
    <t>Average Add On</t>
  </si>
  <si>
    <t>Add On Revenue</t>
  </si>
  <si>
    <t>eCommerce orders</t>
  </si>
  <si>
    <t>Average Order Size</t>
  </si>
  <si>
    <t>eCommerce Revenue</t>
  </si>
  <si>
    <t>Page Views</t>
  </si>
  <si>
    <t>Average CPM</t>
  </si>
  <si>
    <t>Advertising Revenue</t>
  </si>
  <si>
    <t>Churn Percentage</t>
  </si>
  <si>
    <t>Subscription Revenue</t>
  </si>
  <si>
    <t>Gross Revenue</t>
  </si>
  <si>
    <t>SEM -&gt; Subscription Conversion</t>
  </si>
  <si>
    <t>Facebook -&gt; Subscriber Conversion</t>
  </si>
  <si>
    <t>Facebook -&gt; eCommerce Conversion</t>
  </si>
  <si>
    <t>SEM -&gt; eCommerce Conversion</t>
  </si>
  <si>
    <t>Page views per visit</t>
  </si>
  <si>
    <t>Ad impressions per page</t>
  </si>
  <si>
    <t>Average CPC on SEM (Google)</t>
  </si>
  <si>
    <t>Organic SEO Traffic monthly growth rate</t>
  </si>
  <si>
    <t>Direct Traffic</t>
  </si>
  <si>
    <t>SEO visits</t>
  </si>
  <si>
    <t>Direct Traffic Multiplier</t>
  </si>
  <si>
    <t>Total Visits</t>
  </si>
  <si>
    <t>Subscription Margin</t>
  </si>
  <si>
    <t>eCommerce Margin</t>
  </si>
  <si>
    <t>Direct Costs</t>
  </si>
  <si>
    <t>Revenue</t>
  </si>
  <si>
    <t>Subscription</t>
  </si>
  <si>
    <t>Add-ons</t>
  </si>
  <si>
    <t>eCommerce</t>
  </si>
  <si>
    <t>Advertising</t>
  </si>
  <si>
    <t>Total Costs</t>
  </si>
  <si>
    <t>Gross Profit</t>
  </si>
  <si>
    <t>CPC Spend</t>
  </si>
  <si>
    <t>Facebook Spend</t>
  </si>
  <si>
    <t>Indirect Costs</t>
  </si>
  <si>
    <t>Salaries</t>
  </si>
  <si>
    <t>Rent</t>
  </si>
  <si>
    <t>Internet infrastructure</t>
  </si>
  <si>
    <t>Internet Infrastructure base cost / mo</t>
  </si>
  <si>
    <t>Technology</t>
  </si>
  <si>
    <t>Legal and Accounting</t>
  </si>
  <si>
    <t>Travel</t>
  </si>
  <si>
    <t>Training</t>
  </si>
  <si>
    <t>Recruiting</t>
  </si>
  <si>
    <t>Total Indirect Costs</t>
  </si>
  <si>
    <t>EBITDA</t>
  </si>
  <si>
    <t>Dollar Cave Club</t>
  </si>
  <si>
    <t>Organic Traffic -&gt; Subscriber Conversion</t>
  </si>
  <si>
    <t>Organic Traffic -&gt; eCommerce Conversion</t>
  </si>
  <si>
    <t>Subscriber Economics:</t>
  </si>
  <si>
    <t>Facebook</t>
  </si>
  <si>
    <t>Google</t>
  </si>
  <si>
    <t>Employees</t>
  </si>
  <si>
    <t>CEO</t>
  </si>
  <si>
    <t>CTO</t>
  </si>
  <si>
    <t>CMO</t>
  </si>
  <si>
    <t>Developer</t>
  </si>
  <si>
    <t>Designer</t>
  </si>
  <si>
    <t>Ad Specialist</t>
  </si>
  <si>
    <t>Warehouse Manager</t>
  </si>
  <si>
    <t>Warehouse help</t>
  </si>
  <si>
    <t>Orders / warehouse help person</t>
  </si>
  <si>
    <t>Total Salaries</t>
  </si>
  <si>
    <t>Taxes and benefits load</t>
  </si>
  <si>
    <t>Taxes and benefits</t>
  </si>
  <si>
    <t>Total Employee Cost</t>
  </si>
  <si>
    <t>Total:</t>
  </si>
  <si>
    <t>Legal and Accounting Cost per month</t>
  </si>
  <si>
    <t>Tech Cost per employee per month</t>
  </si>
  <si>
    <t>Rent per employee per month</t>
  </si>
  <si>
    <t>Travel cost per employee per month</t>
  </si>
  <si>
    <t>Training Buidget per employee per month</t>
  </si>
  <si>
    <t>Recruiting per added employee</t>
  </si>
  <si>
    <t>YEAR</t>
  </si>
  <si>
    <t>MONTHLY Income Statement</t>
  </si>
  <si>
    <t>ANNUAL Income Statement</t>
  </si>
  <si>
    <t>MONTH</t>
  </si>
  <si>
    <t>Maximum marketing spend of Cash Balance</t>
  </si>
  <si>
    <t>MONTHLY Cash Flow</t>
  </si>
  <si>
    <t>Assets:</t>
  </si>
  <si>
    <t>Cash</t>
  </si>
  <si>
    <t>Accounts Receivable</t>
  </si>
  <si>
    <t>Inventory</t>
  </si>
  <si>
    <t>Fixed Assets</t>
  </si>
  <si>
    <t>Accumulated Depreciation</t>
  </si>
  <si>
    <t>Total Assets</t>
  </si>
  <si>
    <t>Liabilities</t>
  </si>
  <si>
    <t>Accounts Payable</t>
  </si>
  <si>
    <t>Short Term Debt</t>
  </si>
  <si>
    <t>Long Term Debt</t>
  </si>
  <si>
    <t>Total Liabilities</t>
  </si>
  <si>
    <t>Owners Equity</t>
  </si>
  <si>
    <t>Capital Stock</t>
  </si>
  <si>
    <t>Retained Earnings</t>
  </si>
  <si>
    <t>Total Equity</t>
  </si>
  <si>
    <t>Total Liabilities &amp; Equity</t>
  </si>
  <si>
    <t>Average Accounts Receivable Days</t>
  </si>
  <si>
    <t>Average Accounts Payable Days</t>
  </si>
  <si>
    <t>Inventory Days On Hand</t>
  </si>
  <si>
    <t>Capital Raised</t>
  </si>
  <si>
    <t>Beginning Cash Balance</t>
  </si>
  <si>
    <t>Cash Receipts:</t>
  </si>
  <si>
    <t>Gross Sales</t>
  </si>
  <si>
    <t xml:space="preserve">Change in A/R </t>
  </si>
  <si>
    <t>Total Receipts</t>
  </si>
  <si>
    <t>Disbursements:</t>
  </si>
  <si>
    <t>Gross Expenses</t>
  </si>
  <si>
    <t>Change in Inventory Value</t>
  </si>
  <si>
    <t>Amortization &amp; Depreciation</t>
  </si>
  <si>
    <t>Capital Expenditures</t>
  </si>
  <si>
    <t>Income Tax Paid</t>
  </si>
  <si>
    <t>Total Disbursements</t>
  </si>
  <si>
    <t>Net Cash Flow from Operations</t>
  </si>
  <si>
    <t>Equity Financing</t>
  </si>
  <si>
    <t>Interest Income</t>
  </si>
  <si>
    <t>Short Term borrowing</t>
  </si>
  <si>
    <t>Short Term repayments</t>
  </si>
  <si>
    <t>Ending Cash Balance</t>
  </si>
  <si>
    <t xml:space="preserve">Change in A/P </t>
  </si>
  <si>
    <t>ANNUAL Cash Flow</t>
  </si>
  <si>
    <t>Raise at Month 13</t>
  </si>
  <si>
    <t>Lowest balance of the year</t>
  </si>
  <si>
    <t>CAC</t>
  </si>
  <si>
    <t>Months to Payback</t>
  </si>
  <si>
    <t>LTV/CAC</t>
  </si>
  <si>
    <t>CPM growth per month on ads sold</t>
  </si>
  <si>
    <t>Marketing Costs</t>
  </si>
  <si>
    <t>Total Marketing Costs</t>
  </si>
  <si>
    <t>"Enterprise Value"</t>
  </si>
  <si>
    <t>Founders Value</t>
  </si>
  <si>
    <t>NOTE: THIS IS JUST FOR THE ENTREPRENEUR'S REFERENCE - DO NOT SEND THIS TO AN INVESTOR!!</t>
  </si>
  <si>
    <t>Time to Live</t>
  </si>
  <si>
    <t>Raise at Month 1</t>
  </si>
  <si>
    <t>Pre-money Valuation at Month 1</t>
  </si>
  <si>
    <t>Option Pool Size after each round</t>
  </si>
  <si>
    <t>For rounds:</t>
  </si>
  <si>
    <t>New money</t>
  </si>
  <si>
    <t>Pre-money</t>
  </si>
  <si>
    <t>New Money Share</t>
  </si>
  <si>
    <t>New Options Share</t>
  </si>
  <si>
    <t>Old cap table share</t>
  </si>
  <si>
    <t>Founder's share</t>
  </si>
  <si>
    <t>Visits from SEM (Google)</t>
  </si>
  <si>
    <t>Visits from FACEBOOK ADS</t>
  </si>
  <si>
    <t>Visits from Facebook Pictures</t>
  </si>
  <si>
    <t>Visits from Facebook Videos</t>
  </si>
  <si>
    <t>Monthly Subscription Price</t>
  </si>
  <si>
    <t>Max CPM charged on ads sold</t>
  </si>
  <si>
    <t>Monthly Facebook ad spend</t>
  </si>
  <si>
    <t>Monthly SEM Spend (Google ads)</t>
  </si>
  <si>
    <t>Incremental for each 1 million visits/month</t>
  </si>
  <si>
    <t>Multiple for computing enterprise value</t>
  </si>
  <si>
    <t>Subscription Revenue per month</t>
  </si>
  <si>
    <t>Customer Acquisition</t>
  </si>
  <si>
    <t>Average lifetime of subscriber (months)</t>
  </si>
  <si>
    <t>Montly Subscription Churn</t>
  </si>
  <si>
    <t>Contribution Margin per month</t>
  </si>
  <si>
    <t>Lifetime Contribution Margin of subscription</t>
  </si>
  <si>
    <t>Lifetime Contribution Margin of addons</t>
  </si>
  <si>
    <t>Average revenue per addon</t>
  </si>
  <si>
    <t>Average percentage of subs adding on</t>
  </si>
  <si>
    <t>Total Contribution Margin per Subscriber (LTV)</t>
  </si>
  <si>
    <t>Gross Profit - Sales and Marketing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</si>
  <si>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</si>
  <si>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</si>
  <si>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</si>
  <si>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</si>
  <si>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</si>
  <si>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</si>
  <si>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</si>
  <si>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</si>
  <si>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</si>
  <si>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</si>
  <si>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</si>
  <si>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</si>
  <si>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Budget</t>
  </si>
  <si>
    <t>CUSTOMERS</t>
  </si>
  <si>
    <t>REVENUE (MRR)</t>
  </si>
  <si>
    <t xml:space="preserve">CASH </t>
  </si>
  <si>
    <t>https://vcwaves.com/2011/01/18/the-single-best-financial-reporting-tool-ever/</t>
  </si>
  <si>
    <t>Average CPC - SEM (Google)</t>
  </si>
  <si>
    <t>Average CPC - Facebook ADS</t>
  </si>
  <si>
    <t>Visits per FB Pic Post</t>
  </si>
  <si>
    <t>Visit per FB Video Post</t>
  </si>
  <si>
    <t>New Google Subscribers</t>
  </si>
  <si>
    <t>New FB Subscribers</t>
  </si>
  <si>
    <t>New Organic Subscribers</t>
  </si>
  <si>
    <t>Google Conversion Rate</t>
  </si>
  <si>
    <t>FB Conversion Rate</t>
  </si>
  <si>
    <t>Organic Conversion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</si>
</sst>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_);_(* \(#,##0.0\);_(* &quot;-&quot;??_);_(@_)"/>
    <numFmt numFmtId="167" formatCode="&quot;$&quot;#,##0"/>
    <numFmt numFmtId="168" formatCode="[$-409]mmm\-yy;@"/>
    <numFmt numFmtId="169" formatCode="0.0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2"/>
      <color theme="0" tint="-0.1499984740745262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8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2" fillId="0" borderId="0" xfId="0" applyFont="1"/>
    <xf numFmtId="44" fontId="0" fillId="0" borderId="0" xfId="2" applyFont="1"/>
    <xf numFmtId="165" fontId="0" fillId="0" borderId="0" xfId="2" applyNumberFormat="1" applyFont="1"/>
    <xf numFmtId="1" fontId="0" fillId="0" borderId="0" xfId="0" applyNumberFormat="1"/>
    <xf numFmtId="44" fontId="2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66" fontId="0" fillId="0" borderId="0" xfId="1" applyNumberFormat="1" applyFont="1"/>
    <xf numFmtId="44" fontId="0" fillId="0" borderId="0" xfId="0" applyNumberFormat="1"/>
    <xf numFmtId="165" fontId="2" fillId="0" borderId="0" xfId="2" applyNumberFormat="1" applyFont="1"/>
    <xf numFmtId="165" fontId="2" fillId="0" borderId="0" xfId="2" applyNumberFormat="1" applyFon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5" fillId="0" borderId="0" xfId="0" applyFont="1"/>
    <xf numFmtId="10" fontId="0" fillId="0" borderId="0" xfId="0" applyNumberFormat="1"/>
    <xf numFmtId="1" fontId="2" fillId="0" borderId="0" xfId="0" applyNumberFormat="1" applyFont="1"/>
    <xf numFmtId="0" fontId="2" fillId="2" borderId="0" xfId="0" applyFont="1" applyFill="1"/>
    <xf numFmtId="49" fontId="0" fillId="0" borderId="0" xfId="0" applyNumberFormat="1"/>
    <xf numFmtId="49" fontId="2" fillId="0" borderId="0" xfId="0" applyNumberFormat="1" applyFont="1"/>
    <xf numFmtId="49" fontId="2" fillId="2" borderId="0" xfId="0" applyNumberFormat="1" applyFont="1" applyFill="1"/>
    <xf numFmtId="165" fontId="2" fillId="2" borderId="0" xfId="2" applyNumberFormat="1" applyFont="1" applyFill="1"/>
    <xf numFmtId="49" fontId="2" fillId="0" borderId="0" xfId="0" applyNumberFormat="1" applyFont="1" applyAlignment="1">
      <alignment horizontal="right"/>
    </xf>
    <xf numFmtId="0" fontId="0" fillId="0" borderId="0" xfId="0" applyFill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  <xf numFmtId="164" fontId="0" fillId="0" borderId="0" xfId="1" applyNumberFormat="1" applyFont="1" applyFill="1"/>
    <xf numFmtId="0" fontId="2" fillId="0" borderId="0" xfId="0" applyFont="1" applyAlignment="1">
      <alignment horizontal="left" indent="2"/>
    </xf>
    <xf numFmtId="165" fontId="2" fillId="0" borderId="0" xfId="2" applyNumberFormat="1" applyFont="1" applyAlignment="1">
      <alignment horizontal="left" indent="2"/>
    </xf>
    <xf numFmtId="165" fontId="2" fillId="2" borderId="0" xfId="2" applyNumberFormat="1" applyFont="1" applyFill="1" applyAlignment="1">
      <alignment horizontal="left" indent="2"/>
    </xf>
    <xf numFmtId="0" fontId="2" fillId="2" borderId="0" xfId="0" applyFont="1" applyFill="1" applyAlignment="1">
      <alignment horizontal="left" indent="2"/>
    </xf>
    <xf numFmtId="164" fontId="2" fillId="2" borderId="0" xfId="1" applyNumberFormat="1" applyFont="1" applyFill="1"/>
    <xf numFmtId="49" fontId="0" fillId="0" borderId="0" xfId="0" applyNumberFormat="1" applyFill="1"/>
    <xf numFmtId="49" fontId="2" fillId="0" borderId="0" xfId="0" applyNumberFormat="1" applyFont="1" applyFill="1"/>
    <xf numFmtId="165" fontId="2" fillId="0" borderId="0" xfId="2" applyNumberFormat="1" applyFont="1" applyFill="1"/>
    <xf numFmtId="165" fontId="2" fillId="0" borderId="0" xfId="2" applyNumberFormat="1" applyFont="1" applyAlignment="1">
      <alignment horizontal="left" indent="3"/>
    </xf>
    <xf numFmtId="0" fontId="0" fillId="3" borderId="0" xfId="0" applyFill="1"/>
    <xf numFmtId="167" fontId="0" fillId="0" borderId="0" xfId="2" applyNumberFormat="1" applyFont="1"/>
    <xf numFmtId="165" fontId="0" fillId="3" borderId="0" xfId="2" applyNumberFormat="1" applyFont="1" applyFill="1"/>
    <xf numFmtId="0" fontId="7" fillId="0" borderId="0" xfId="0" applyFont="1"/>
    <xf numFmtId="0" fontId="0" fillId="0" borderId="0" xfId="0" applyFont="1"/>
    <xf numFmtId="44" fontId="2" fillId="2" borderId="0" xfId="0" applyNumberFormat="1" applyFont="1" applyFill="1"/>
    <xf numFmtId="43" fontId="0" fillId="0" borderId="0" xfId="1" applyFont="1"/>
    <xf numFmtId="0" fontId="0" fillId="4" borderId="0" xfId="0" applyFill="1"/>
    <xf numFmtId="1" fontId="0" fillId="4" borderId="0" xfId="0" applyNumberFormat="1" applyFill="1"/>
    <xf numFmtId="165" fontId="0" fillId="0" borderId="0" xfId="0" applyNumberFormat="1" applyFont="1"/>
    <xf numFmtId="0" fontId="8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 indent="1"/>
    </xf>
    <xf numFmtId="166" fontId="2" fillId="2" borderId="0" xfId="1" applyNumberFormat="1" applyFont="1" applyFill="1"/>
    <xf numFmtId="0" fontId="9" fillId="0" borderId="0" xfId="0" applyFont="1"/>
    <xf numFmtId="165" fontId="9" fillId="0" borderId="0" xfId="2" applyNumberFormat="1" applyFont="1"/>
    <xf numFmtId="165" fontId="9" fillId="0" borderId="0" xfId="0" applyNumberFormat="1" applyFont="1"/>
    <xf numFmtId="9" fontId="9" fillId="0" borderId="0" xfId="3" applyFont="1"/>
    <xf numFmtId="9" fontId="9" fillId="0" borderId="0" xfId="3" applyNumberFormat="1" applyFont="1"/>
    <xf numFmtId="9" fontId="9" fillId="0" borderId="0" xfId="3" applyNumberFormat="1" applyFont="1" applyAlignment="1">
      <alignment horizontal="right"/>
    </xf>
    <xf numFmtId="168" fontId="2" fillId="0" borderId="0" xfId="1" applyNumberFormat="1" applyFont="1"/>
    <xf numFmtId="168" fontId="0" fillId="0" borderId="0" xfId="1" applyNumberFormat="1" applyFont="1" applyAlignment="1">
      <alignment horizontal="right"/>
    </xf>
    <xf numFmtId="1" fontId="2" fillId="0" borderId="0" xfId="1" applyNumberFormat="1" applyFont="1"/>
    <xf numFmtId="165" fontId="0" fillId="5" borderId="0" xfId="2" applyNumberFormat="1" applyFont="1" applyFill="1"/>
    <xf numFmtId="164" fontId="0" fillId="5" borderId="0" xfId="1" applyNumberFormat="1" applyFont="1" applyFill="1"/>
    <xf numFmtId="0" fontId="0" fillId="5" borderId="0" xfId="0" applyFill="1"/>
    <xf numFmtId="165" fontId="0" fillId="5" borderId="0" xfId="0" applyNumberFormat="1" applyFill="1"/>
    <xf numFmtId="164" fontId="2" fillId="5" borderId="0" xfId="1" applyNumberFormat="1" applyFont="1" applyFill="1"/>
    <xf numFmtId="165" fontId="2" fillId="5" borderId="0" xfId="2" applyNumberFormat="1" applyFont="1" applyFill="1" applyAlignment="1">
      <alignment horizontal="right"/>
    </xf>
    <xf numFmtId="165" fontId="2" fillId="5" borderId="0" xfId="2" applyNumberFormat="1" applyFont="1" applyFill="1"/>
    <xf numFmtId="168" fontId="2" fillId="5" borderId="0" xfId="1" applyNumberFormat="1" applyFont="1" applyFill="1"/>
    <xf numFmtId="165" fontId="2" fillId="5" borderId="0" xfId="0" applyNumberFormat="1" applyFont="1" applyFill="1"/>
    <xf numFmtId="165" fontId="0" fillId="5" borderId="0" xfId="0" applyNumberFormat="1" applyFont="1" applyFill="1"/>
    <xf numFmtId="1" fontId="0" fillId="5" borderId="0" xfId="0" applyNumberFormat="1" applyFill="1"/>
    <xf numFmtId="165" fontId="0" fillId="2" borderId="0" xfId="2" applyNumberFormat="1" applyFont="1" applyFill="1"/>
    <xf numFmtId="0" fontId="6" fillId="2" borderId="0" xfId="0" applyFont="1" applyFill="1" applyAlignment="1">
      <alignment horizontal="left" indent="1"/>
    </xf>
    <xf numFmtId="169" fontId="0" fillId="0" borderId="0" xfId="0" applyNumberFormat="1"/>
    <xf numFmtId="1" fontId="2" fillId="5" borderId="0" xfId="0" applyNumberFormat="1" applyFont="1" applyFill="1"/>
    <xf numFmtId="0" fontId="11" fillId="0" borderId="0" xfId="0" applyFont="1" applyAlignment="1">
      <alignment horizontal="right"/>
    </xf>
    <xf numFmtId="0" fontId="0" fillId="0" borderId="4" xfId="0" applyBorder="1"/>
    <xf numFmtId="0" fontId="0" fillId="4" borderId="4" xfId="0" applyFill="1" applyBorder="1"/>
    <xf numFmtId="164" fontId="0" fillId="4" borderId="0" xfId="1" applyNumberFormat="1" applyFont="1" applyFill="1" applyBorder="1"/>
    <xf numFmtId="164" fontId="0" fillId="4" borderId="5" xfId="1" applyNumberFormat="1" applyFont="1" applyFill="1" applyBorder="1"/>
    <xf numFmtId="164" fontId="2" fillId="6" borderId="0" xfId="1" applyNumberFormat="1" applyFont="1" applyFill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12" fillId="6" borderId="0" xfId="1" applyNumberFormat="1" applyFont="1" applyFill="1" applyBorder="1"/>
    <xf numFmtId="164" fontId="0" fillId="6" borderId="0" xfId="1" applyNumberFormat="1" applyFont="1" applyFill="1" applyBorder="1"/>
    <xf numFmtId="0" fontId="0" fillId="0" borderId="6" xfId="0" applyBorder="1"/>
    <xf numFmtId="164" fontId="0" fillId="0" borderId="7" xfId="1" applyNumberFormat="1" applyFont="1" applyBorder="1"/>
    <xf numFmtId="164" fontId="0" fillId="6" borderId="8" xfId="1" applyNumberFormat="1" applyFont="1" applyFill="1" applyBorder="1"/>
    <xf numFmtId="0" fontId="2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6" xfId="0" applyFill="1" applyBorder="1"/>
    <xf numFmtId="0" fontId="11" fillId="7" borderId="7" xfId="0" applyFont="1" applyFill="1" applyBorder="1" applyAlignment="1">
      <alignment horizontal="right"/>
    </xf>
    <xf numFmtId="0" fontId="11" fillId="7" borderId="8" xfId="0" applyFont="1" applyFill="1" applyBorder="1" applyAlignment="1">
      <alignment horizontal="right"/>
    </xf>
    <xf numFmtId="164" fontId="14" fillId="0" borderId="0" xfId="1" applyNumberFormat="1" applyFont="1"/>
    <xf numFmtId="164" fontId="14" fillId="0" borderId="0" xfId="1" quotePrefix="1" applyNumberFormat="1" applyFont="1"/>
    <xf numFmtId="10" fontId="13" fillId="5" borderId="0" xfId="3" applyNumberFormat="1" applyFont="1" applyFill="1"/>
    <xf numFmtId="44" fontId="15" fillId="0" borderId="0" xfId="2" applyFont="1" applyFill="1"/>
    <xf numFmtId="9" fontId="15" fillId="0" borderId="0" xfId="3" applyFont="1" applyFill="1"/>
    <xf numFmtId="10" fontId="15" fillId="0" borderId="0" xfId="3" applyNumberFormat="1" applyFont="1" applyFill="1"/>
    <xf numFmtId="0" fontId="15" fillId="0" borderId="0" xfId="0" applyFont="1" applyFill="1"/>
    <xf numFmtId="165" fontId="15" fillId="0" borderId="0" xfId="2" applyNumberFormat="1" applyFont="1" applyFill="1"/>
    <xf numFmtId="164" fontId="15" fillId="0" borderId="0" xfId="1" applyNumberFormat="1" applyFont="1" applyFill="1"/>
    <xf numFmtId="165" fontId="15" fillId="0" borderId="0" xfId="0" applyNumberFormat="1" applyFont="1" applyFill="1"/>
    <xf numFmtId="166" fontId="15" fillId="0" borderId="0" xfId="1" applyNumberFormat="1" applyFont="1" applyFill="1"/>
    <xf numFmtId="44" fontId="15" fillId="0" borderId="0" xfId="2" applyNumberFormat="1" applyFont="1" applyFill="1"/>
    <xf numFmtId="43" fontId="15" fillId="0" borderId="0" xfId="1" applyFont="1" applyFill="1"/>
    <xf numFmtId="164" fontId="1" fillId="0" borderId="0" xfId="1" applyNumberFormat="1" applyFont="1" applyFill="1"/>
    <xf numFmtId="164" fontId="1" fillId="0" borderId="0" xfId="1" applyNumberFormat="1" applyFont="1"/>
    <xf numFmtId="0" fontId="2" fillId="0" borderId="0" xfId="0" applyFont="1" applyFill="1"/>
    <xf numFmtId="164" fontId="1" fillId="5" borderId="0" xfId="1" applyNumberFormat="1" applyFont="1" applyFill="1"/>
    <xf numFmtId="0" fontId="1" fillId="0" borderId="0" xfId="0" applyFont="1" applyFill="1"/>
    <xf numFmtId="0" fontId="1" fillId="5" borderId="0" xfId="0" applyFont="1" applyFill="1"/>
    <xf numFmtId="168" fontId="1" fillId="0" borderId="0" xfId="1" applyNumberFormat="1" applyFont="1"/>
    <xf numFmtId="0" fontId="0" fillId="0" borderId="0" xfId="0" applyFont="1" applyFill="1"/>
    <xf numFmtId="0" fontId="0" fillId="5" borderId="0" xfId="0" applyFont="1" applyFill="1"/>
    <xf numFmtId="43" fontId="1" fillId="0" borderId="0" xfId="1" applyFont="1" applyFill="1"/>
    <xf numFmtId="165" fontId="1" fillId="5" borderId="0" xfId="2" applyNumberFormat="1" applyFont="1" applyFill="1"/>
    <xf numFmtId="44" fontId="1" fillId="5" borderId="0" xfId="2" applyFont="1" applyFill="1"/>
    <xf numFmtId="43" fontId="1" fillId="5" borderId="0" xfId="1" applyFont="1" applyFill="1"/>
    <xf numFmtId="164" fontId="16" fillId="0" borderId="0" xfId="1" applyNumberFormat="1" applyFont="1" applyFill="1"/>
    <xf numFmtId="10" fontId="16" fillId="0" borderId="0" xfId="3" applyNumberFormat="1" applyFont="1" applyFill="1"/>
    <xf numFmtId="44" fontId="15" fillId="0" borderId="0" xfId="2" applyFont="1" applyFill="1" applyAlignment="1">
      <alignment horizontal="right"/>
    </xf>
    <xf numFmtId="10" fontId="15" fillId="0" borderId="0" xfId="3" applyNumberFormat="1" applyFont="1" applyFill="1" applyAlignment="1">
      <alignment horizontal="right"/>
    </xf>
    <xf numFmtId="44" fontId="15" fillId="0" borderId="0" xfId="0" applyNumberFormat="1" applyFont="1" applyFill="1"/>
    <xf numFmtId="164" fontId="13" fillId="0" borderId="0" xfId="1" applyNumberFormat="1" applyFont="1" applyFill="1"/>
    <xf numFmtId="164" fontId="13" fillId="0" borderId="0" xfId="1" applyNumberFormat="1" applyFont="1" applyFill="1" applyAlignment="1">
      <alignment horizontal="left" indent="1"/>
    </xf>
    <xf numFmtId="164" fontId="1" fillId="0" borderId="0" xfId="1" applyNumberFormat="1" applyFont="1" applyAlignment="1">
      <alignment horizontal="left" indent="1"/>
    </xf>
    <xf numFmtId="164" fontId="1" fillId="5" borderId="0" xfId="1" quotePrefix="1" applyNumberFormat="1" applyFont="1" applyFill="1"/>
    <xf numFmtId="0" fontId="1" fillId="0" borderId="0" xfId="0" applyFont="1"/>
    <xf numFmtId="0" fontId="1" fillId="5" borderId="0" xfId="0" applyFont="1" applyFill="1" applyAlignment="1">
      <alignment horizontal="right"/>
    </xf>
    <xf numFmtId="10" fontId="1" fillId="5" borderId="0" xfId="3" applyNumberFormat="1" applyFont="1" applyFill="1"/>
    <xf numFmtId="44" fontId="1" fillId="5" borderId="0" xfId="2" applyFont="1" applyFill="1" applyAlignment="1">
      <alignment horizontal="right"/>
    </xf>
    <xf numFmtId="10" fontId="1" fillId="5" borderId="0" xfId="3" applyNumberFormat="1" applyFont="1" applyFill="1" applyAlignment="1">
      <alignment horizontal="right"/>
    </xf>
    <xf numFmtId="44" fontId="1" fillId="5" borderId="0" xfId="0" applyNumberFormat="1" applyFont="1" applyFill="1"/>
  </cellXfs>
  <cellStyles count="150">
    <cellStyle name="Comma" xfId="1" builtinId="3"/>
    <cellStyle name="Currency" xfId="2" builtinId="4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'Monthly Income Statement'!$C$8:$BJ$8</c:f>
              <c:numCache>
                <c:formatCode>_("$"* #,##0_);_("$"* \(#,##0\);_("$"* "-"??_);_(@_)</c:formatCode>
                <c:ptCount val="60"/>
                <c:pt idx="0">
                  <c:v>3613.2637449999997</c:v>
                </c:pt>
                <c:pt idx="1">
                  <c:v>3941.3917240000001</c:v>
                </c:pt>
                <c:pt idx="2">
                  <c:v>4353.519779799999</c:v>
                </c:pt>
                <c:pt idx="3">
                  <c:v>4916.8579048000001</c:v>
                </c:pt>
                <c:pt idx="4">
                  <c:v>22465.296064000002</c:v>
                </c:pt>
                <c:pt idx="5">
                  <c:v>27249.531166220801</c:v>
                </c:pt>
                <c:pt idx="6">
                  <c:v>32198.760814729329</c:v>
                </c:pt>
                <c:pt idx="7">
                  <c:v>36990.022123542345</c:v>
                </c:pt>
                <c:pt idx="8">
                  <c:v>41729.044919540895</c:v>
                </c:pt>
                <c:pt idx="9">
                  <c:v>46333.799381801684</c:v>
                </c:pt>
                <c:pt idx="10">
                  <c:v>50853.046254275563</c:v>
                </c:pt>
                <c:pt idx="11">
                  <c:v>55234.763611543654</c:v>
                </c:pt>
                <c:pt idx="12">
                  <c:v>59556.068362502258</c:v>
                </c:pt>
                <c:pt idx="13">
                  <c:v>63773.161809070065</c:v>
                </c:pt>
                <c:pt idx="14">
                  <c:v>67970.279867998703</c:v>
                </c:pt>
                <c:pt idx="15">
                  <c:v>72021.368869752478</c:v>
                </c:pt>
                <c:pt idx="16">
                  <c:v>76042.550443049491</c:v>
                </c:pt>
                <c:pt idx="17">
                  <c:v>79947.692007762686</c:v>
                </c:pt>
                <c:pt idx="18">
                  <c:v>83901.722279060836</c:v>
                </c:pt>
                <c:pt idx="19">
                  <c:v>87838.876113281061</c:v>
                </c:pt>
                <c:pt idx="20">
                  <c:v>91744.057565986062</c:v>
                </c:pt>
                <c:pt idx="21">
                  <c:v>95375.827441140995</c:v>
                </c:pt>
                <c:pt idx="22">
                  <c:v>98956.104852935634</c:v>
                </c:pt>
                <c:pt idx="23">
                  <c:v>102575.07430335179</c:v>
                </c:pt>
                <c:pt idx="24">
                  <c:v>106145.7752963797</c:v>
                </c:pt>
                <c:pt idx="25">
                  <c:v>109760.72215825706</c:v>
                </c:pt>
                <c:pt idx="26">
                  <c:v>113458.47472380292</c:v>
                </c:pt>
                <c:pt idx="27">
                  <c:v>117183.51648949836</c:v>
                </c:pt>
                <c:pt idx="28">
                  <c:v>120963.11344757542</c:v>
                </c:pt>
                <c:pt idx="29">
                  <c:v>124774.08526814186</c:v>
                </c:pt>
                <c:pt idx="30">
                  <c:v>128778.68016631099</c:v>
                </c:pt>
                <c:pt idx="31">
                  <c:v>132856.14209071931</c:v>
                </c:pt>
                <c:pt idx="32">
                  <c:v>137108.09595756349</c:v>
                </c:pt>
                <c:pt idx="33">
                  <c:v>141572.51360811797</c:v>
                </c:pt>
                <c:pt idx="34">
                  <c:v>146156.02677692386</c:v>
                </c:pt>
                <c:pt idx="35">
                  <c:v>151070.20320180402</c:v>
                </c:pt>
                <c:pt idx="36">
                  <c:v>156184.01176558089</c:v>
                </c:pt>
                <c:pt idx="37">
                  <c:v>161610.55687551771</c:v>
                </c:pt>
                <c:pt idx="38">
                  <c:v>167395.05453919858</c:v>
                </c:pt>
                <c:pt idx="39">
                  <c:v>173583.15210163654</c:v>
                </c:pt>
                <c:pt idx="40">
                  <c:v>180298.22895224116</c:v>
                </c:pt>
                <c:pt idx="41">
                  <c:v>187399.30518599771</c:v>
                </c:pt>
                <c:pt idx="42">
                  <c:v>195089.58804313585</c:v>
                </c:pt>
                <c:pt idx="43">
                  <c:v>203503.4383387212</c:v>
                </c:pt>
                <c:pt idx="44">
                  <c:v>212531.49581085166</c:v>
                </c:pt>
                <c:pt idx="45">
                  <c:v>222393.28591696036</c:v>
                </c:pt>
                <c:pt idx="46">
                  <c:v>233148.4634039079</c:v>
                </c:pt>
                <c:pt idx="47">
                  <c:v>244857.67547321055</c:v>
                </c:pt>
                <c:pt idx="48">
                  <c:v>257673.15775098541</c:v>
                </c:pt>
                <c:pt idx="49">
                  <c:v>271732.06504515774</c:v>
                </c:pt>
                <c:pt idx="50">
                  <c:v>287103.90695078828</c:v>
                </c:pt>
                <c:pt idx="51">
                  <c:v>304086.25343044254</c:v>
                </c:pt>
                <c:pt idx="52">
                  <c:v>322797.43145452614</c:v>
                </c:pt>
                <c:pt idx="53">
                  <c:v>343323.21983743139</c:v>
                </c:pt>
                <c:pt idx="54">
                  <c:v>366058.83970370976</c:v>
                </c:pt>
                <c:pt idx="55">
                  <c:v>391175.388878992</c:v>
                </c:pt>
                <c:pt idx="56">
                  <c:v>418883.74195235537</c:v>
                </c:pt>
                <c:pt idx="57">
                  <c:v>449509.47039781243</c:v>
                </c:pt>
                <c:pt idx="58">
                  <c:v>483355.43046907306</c:v>
                </c:pt>
                <c:pt idx="59">
                  <c:v>520952.84957641811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E3-DA4E-AA03-47A025FE4849}"/>
            </c:ext>
          </c:extLst>
        </c:ser>
        <c:ser>
          <c:idx val="1"/>
          <c:order val="1"/>
          <c:invertIfNegative val="0"/>
          <c:val>
            <c:numRef>
              <c:f>'Monthly Income Statement'!$C$37:$BJ$37</c:f>
              <c:numCache>
                <c:formatCode>_("$"* #,##0_);_("$"* \(#,##0\);_("$"* "-"??_);_(@_)</c:formatCode>
                <c:ptCount val="60"/>
                <c:pt idx="0">
                  <c:v>43196.921666666669</c:v>
                </c:pt>
                <c:pt idx="1">
                  <c:v>43462.182166666673</c:v>
                </c:pt>
                <c:pt idx="2">
                  <c:v>71588.581666666665</c:v>
                </c:pt>
                <c:pt idx="3">
                  <c:v>78426.842333333349</c:v>
                </c:pt>
                <c:pt idx="4">
                  <c:v>104815.48733333334</c:v>
                </c:pt>
                <c:pt idx="5">
                  <c:v>107970.06315040842</c:v>
                </c:pt>
                <c:pt idx="6">
                  <c:v>111320.04114545841</c:v>
                </c:pt>
                <c:pt idx="7">
                  <c:v>114540.08955372943</c:v>
                </c:pt>
                <c:pt idx="8">
                  <c:v>117704.01457151081</c:v>
                </c:pt>
                <c:pt idx="9">
                  <c:v>120755.08628201328</c:v>
                </c:pt>
                <c:pt idx="10">
                  <c:v>123728.94501875954</c:v>
                </c:pt>
                <c:pt idx="11">
                  <c:v>126589.06199892968</c:v>
                </c:pt>
                <c:pt idx="12">
                  <c:v>145762.58617101648</c:v>
                </c:pt>
                <c:pt idx="13">
                  <c:v>143486.47680810903</c:v>
                </c:pt>
                <c:pt idx="14">
                  <c:v>146182.3900624557</c:v>
                </c:pt>
                <c:pt idx="15">
                  <c:v>148763.986838721</c:v>
                </c:pt>
                <c:pt idx="16">
                  <c:v>151319.2682676205</c:v>
                </c:pt>
                <c:pt idx="17">
                  <c:v>153781.80979674298</c:v>
                </c:pt>
                <c:pt idx="18">
                  <c:v>156264.75318143729</c:v>
                </c:pt>
                <c:pt idx="19">
                  <c:v>158725.39986201809</c:v>
                </c:pt>
                <c:pt idx="20">
                  <c:v>161152.20643121592</c:v>
                </c:pt>
                <c:pt idx="21">
                  <c:v>173662.1209542983</c:v>
                </c:pt>
                <c:pt idx="22">
                  <c:v>171022.09831254499</c:v>
                </c:pt>
                <c:pt idx="23">
                  <c:v>173410.23196228335</c:v>
                </c:pt>
                <c:pt idx="24">
                  <c:v>175767.23858168209</c:v>
                </c:pt>
                <c:pt idx="25">
                  <c:v>178156.16694764339</c:v>
                </c:pt>
                <c:pt idx="26">
                  <c:v>180602.28684730735</c:v>
                </c:pt>
                <c:pt idx="27">
                  <c:v>183066.65703842667</c:v>
                </c:pt>
                <c:pt idx="28">
                  <c:v>185569.92795069894</c:v>
                </c:pt>
                <c:pt idx="29">
                  <c:v>188094.13238857302</c:v>
                </c:pt>
                <c:pt idx="30">
                  <c:v>190751.0893209168</c:v>
                </c:pt>
                <c:pt idx="31">
                  <c:v>193456.15386906557</c:v>
                </c:pt>
                <c:pt idx="32">
                  <c:v>196278.68926127322</c:v>
                </c:pt>
                <c:pt idx="33">
                  <c:v>199246.78577531473</c:v>
                </c:pt>
                <c:pt idx="34">
                  <c:v>202293.28743376257</c:v>
                </c:pt>
                <c:pt idx="35">
                  <c:v>205566.12337170329</c:v>
                </c:pt>
                <c:pt idx="36">
                  <c:v>208970.09024148167</c:v>
                </c:pt>
                <c:pt idx="37">
                  <c:v>212585.80520253797</c:v>
                </c:pt>
                <c:pt idx="38">
                  <c:v>216443.05120649264</c:v>
                </c:pt>
                <c:pt idx="39">
                  <c:v>220571.88659517508</c:v>
                </c:pt>
                <c:pt idx="40">
                  <c:v>225056.75782869675</c:v>
                </c:pt>
                <c:pt idx="41">
                  <c:v>229798.68256699713</c:v>
                </c:pt>
                <c:pt idx="42">
                  <c:v>234937.93282492924</c:v>
                </c:pt>
                <c:pt idx="43">
                  <c:v>240566.55353767541</c:v>
                </c:pt>
                <c:pt idx="44">
                  <c:v>246605.9492901768</c:v>
                </c:pt>
                <c:pt idx="45">
                  <c:v>253207.70551490894</c:v>
                </c:pt>
                <c:pt idx="46">
                  <c:v>260411.4550753464</c:v>
                </c:pt>
                <c:pt idx="47">
                  <c:v>268257.47817446239</c:v>
                </c:pt>
                <c:pt idx="48">
                  <c:v>276850.11479581427</c:v>
                </c:pt>
                <c:pt idx="49">
                  <c:v>286279.79212192539</c:v>
                </c:pt>
                <c:pt idx="50">
                  <c:v>296592.81708173378</c:v>
                </c:pt>
                <c:pt idx="51">
                  <c:v>307993.42448763794</c:v>
                </c:pt>
                <c:pt idx="52">
                  <c:v>320560.30053183227</c:v>
                </c:pt>
                <c:pt idx="53">
                  <c:v>334350.91321293788</c:v>
                </c:pt>
                <c:pt idx="54">
                  <c:v>359750.96835727844</c:v>
                </c:pt>
                <c:pt idx="55">
                  <c:v>371640.82670617802</c:v>
                </c:pt>
                <c:pt idx="56">
                  <c:v>390281.88214045955</c:v>
                </c:pt>
                <c:pt idx="57">
                  <c:v>410894.08289888193</c:v>
                </c:pt>
                <c:pt idx="58">
                  <c:v>433682.98417368456</c:v>
                </c:pt>
                <c:pt idx="59">
                  <c:v>459008.90614358574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E3-DA4E-AA03-47A025FE4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796411328"/>
        <c:axId val="-1682289120"/>
      </c:barChart>
      <c:catAx>
        <c:axId val="-1796411328"/>
        <c:scaling>
          <c:orientation val="minMax"/>
        </c:scaling>
        <c:delete val="0"/>
        <c:axPos val="b"/>
        <c:majorTickMark val="out"/>
        <c:minorTickMark val="none"/>
        <c:tickLblPos val="nextTo"/>
        <c:crossAx val="-1682289120"/>
        <c:crosses val="autoZero"/>
        <c:auto val="1"/>
        <c:lblAlgn val="ctr"/>
        <c:lblOffset val="100"/>
        <c:noMultiLvlLbl val="0"/>
      </c:catAx>
      <c:valAx>
        <c:axId val="-1682289120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-1796411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Revenue</a:t>
            </a:r>
            <a:r>
              <a:rPr lang="en-US" baseline="0"/>
              <a:t> and Expenses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1000508177283"/>
          <c:y val="0.106313403737919"/>
          <c:w val="0.81011454788900195"/>
          <c:h val="0.84471752054615201"/>
        </c:manualLayout>
      </c:layout>
      <c:lineChart>
        <c:grouping val="standard"/>
        <c:varyColors val="0"/>
        <c:ser>
          <c:idx val="0"/>
          <c:order val="0"/>
          <c:tx>
            <c:v>Revenue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'Monthly Income Statement'!$C$8:$BJ$8</c:f>
              <c:numCache>
                <c:formatCode>_("$"* #,##0_);_("$"* \(#,##0\);_("$"* "-"??_);_(@_)</c:formatCode>
                <c:ptCount val="60"/>
                <c:pt idx="0">
                  <c:v>3613.2637449999997</c:v>
                </c:pt>
                <c:pt idx="1">
                  <c:v>3941.3917240000001</c:v>
                </c:pt>
                <c:pt idx="2">
                  <c:v>4353.519779799999</c:v>
                </c:pt>
                <c:pt idx="3">
                  <c:v>4916.8579048000001</c:v>
                </c:pt>
                <c:pt idx="4">
                  <c:v>22465.296064000002</c:v>
                </c:pt>
                <c:pt idx="5">
                  <c:v>27249.531166220801</c:v>
                </c:pt>
                <c:pt idx="6">
                  <c:v>32198.760814729329</c:v>
                </c:pt>
                <c:pt idx="7">
                  <c:v>36990.022123542345</c:v>
                </c:pt>
                <c:pt idx="8">
                  <c:v>41729.044919540895</c:v>
                </c:pt>
                <c:pt idx="9">
                  <c:v>46333.799381801684</c:v>
                </c:pt>
                <c:pt idx="10">
                  <c:v>50853.046254275563</c:v>
                </c:pt>
                <c:pt idx="11">
                  <c:v>55234.763611543654</c:v>
                </c:pt>
                <c:pt idx="12">
                  <c:v>59556.068362502258</c:v>
                </c:pt>
                <c:pt idx="13">
                  <c:v>63773.161809070065</c:v>
                </c:pt>
                <c:pt idx="14">
                  <c:v>67970.279867998703</c:v>
                </c:pt>
                <c:pt idx="15">
                  <c:v>72021.368869752478</c:v>
                </c:pt>
                <c:pt idx="16">
                  <c:v>76042.550443049491</c:v>
                </c:pt>
                <c:pt idx="17">
                  <c:v>79947.692007762686</c:v>
                </c:pt>
                <c:pt idx="18">
                  <c:v>83901.722279060836</c:v>
                </c:pt>
                <c:pt idx="19">
                  <c:v>87838.876113281061</c:v>
                </c:pt>
                <c:pt idx="20">
                  <c:v>91744.057565986062</c:v>
                </c:pt>
                <c:pt idx="21">
                  <c:v>95375.827441140995</c:v>
                </c:pt>
                <c:pt idx="22">
                  <c:v>98956.104852935634</c:v>
                </c:pt>
                <c:pt idx="23">
                  <c:v>102575.07430335179</c:v>
                </c:pt>
                <c:pt idx="24">
                  <c:v>106145.7752963797</c:v>
                </c:pt>
                <c:pt idx="25">
                  <c:v>109760.72215825706</c:v>
                </c:pt>
                <c:pt idx="26">
                  <c:v>113458.47472380292</c:v>
                </c:pt>
                <c:pt idx="27">
                  <c:v>117183.51648949836</c:v>
                </c:pt>
                <c:pt idx="28">
                  <c:v>120963.11344757542</c:v>
                </c:pt>
                <c:pt idx="29">
                  <c:v>124774.08526814186</c:v>
                </c:pt>
                <c:pt idx="30">
                  <c:v>128778.68016631099</c:v>
                </c:pt>
                <c:pt idx="31">
                  <c:v>132856.14209071931</c:v>
                </c:pt>
                <c:pt idx="32">
                  <c:v>137108.09595756349</c:v>
                </c:pt>
                <c:pt idx="33">
                  <c:v>141572.51360811797</c:v>
                </c:pt>
                <c:pt idx="34">
                  <c:v>146156.02677692386</c:v>
                </c:pt>
                <c:pt idx="35">
                  <c:v>151070.20320180402</c:v>
                </c:pt>
                <c:pt idx="36">
                  <c:v>156184.01176558089</c:v>
                </c:pt>
                <c:pt idx="37">
                  <c:v>161610.55687551771</c:v>
                </c:pt>
                <c:pt idx="38">
                  <c:v>167395.05453919858</c:v>
                </c:pt>
                <c:pt idx="39">
                  <c:v>173583.15210163654</c:v>
                </c:pt>
                <c:pt idx="40">
                  <c:v>180298.22895224116</c:v>
                </c:pt>
                <c:pt idx="41">
                  <c:v>187399.30518599771</c:v>
                </c:pt>
                <c:pt idx="42">
                  <c:v>195089.58804313585</c:v>
                </c:pt>
                <c:pt idx="43">
                  <c:v>203503.4383387212</c:v>
                </c:pt>
                <c:pt idx="44">
                  <c:v>212531.49581085166</c:v>
                </c:pt>
                <c:pt idx="45">
                  <c:v>222393.28591696036</c:v>
                </c:pt>
                <c:pt idx="46">
                  <c:v>233148.4634039079</c:v>
                </c:pt>
                <c:pt idx="47">
                  <c:v>244857.67547321055</c:v>
                </c:pt>
                <c:pt idx="48">
                  <c:v>257673.15775098541</c:v>
                </c:pt>
                <c:pt idx="49">
                  <c:v>271732.06504515774</c:v>
                </c:pt>
                <c:pt idx="50">
                  <c:v>287103.90695078828</c:v>
                </c:pt>
                <c:pt idx="51">
                  <c:v>304086.25343044254</c:v>
                </c:pt>
                <c:pt idx="52">
                  <c:v>322797.43145452614</c:v>
                </c:pt>
                <c:pt idx="53">
                  <c:v>343323.21983743139</c:v>
                </c:pt>
                <c:pt idx="54">
                  <c:v>366058.83970370976</c:v>
                </c:pt>
                <c:pt idx="55">
                  <c:v>391175.388878992</c:v>
                </c:pt>
                <c:pt idx="56">
                  <c:v>418883.74195235537</c:v>
                </c:pt>
                <c:pt idx="57">
                  <c:v>449509.47039781243</c:v>
                </c:pt>
                <c:pt idx="58">
                  <c:v>483355.43046907306</c:v>
                </c:pt>
                <c:pt idx="59">
                  <c:v>520952.84957641811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FC-7B43-8EE4-ACF46CD586EF}"/>
            </c:ext>
          </c:extLst>
        </c:ser>
        <c:ser>
          <c:idx val="1"/>
          <c:order val="1"/>
          <c:tx>
            <c:v>Expenses</c:v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val>
            <c:numRef>
              <c:f>'Monthly Income Statement'!$C$37:$BJ$37</c:f>
              <c:numCache>
                <c:formatCode>_("$"* #,##0_);_("$"* \(#,##0\);_("$"* "-"??_);_(@_)</c:formatCode>
                <c:ptCount val="60"/>
                <c:pt idx="0">
                  <c:v>43196.921666666669</c:v>
                </c:pt>
                <c:pt idx="1">
                  <c:v>43462.182166666673</c:v>
                </c:pt>
                <c:pt idx="2">
                  <c:v>71588.581666666665</c:v>
                </c:pt>
                <c:pt idx="3">
                  <c:v>78426.842333333349</c:v>
                </c:pt>
                <c:pt idx="4">
                  <c:v>104815.48733333334</c:v>
                </c:pt>
                <c:pt idx="5">
                  <c:v>107970.06315040842</c:v>
                </c:pt>
                <c:pt idx="6">
                  <c:v>111320.04114545841</c:v>
                </c:pt>
                <c:pt idx="7">
                  <c:v>114540.08955372943</c:v>
                </c:pt>
                <c:pt idx="8">
                  <c:v>117704.01457151081</c:v>
                </c:pt>
                <c:pt idx="9">
                  <c:v>120755.08628201328</c:v>
                </c:pt>
                <c:pt idx="10">
                  <c:v>123728.94501875954</c:v>
                </c:pt>
                <c:pt idx="11">
                  <c:v>126589.06199892968</c:v>
                </c:pt>
                <c:pt idx="12">
                  <c:v>145762.58617101648</c:v>
                </c:pt>
                <c:pt idx="13">
                  <c:v>143486.47680810903</c:v>
                </c:pt>
                <c:pt idx="14">
                  <c:v>146182.3900624557</c:v>
                </c:pt>
                <c:pt idx="15">
                  <c:v>148763.986838721</c:v>
                </c:pt>
                <c:pt idx="16">
                  <c:v>151319.2682676205</c:v>
                </c:pt>
                <c:pt idx="17">
                  <c:v>153781.80979674298</c:v>
                </c:pt>
                <c:pt idx="18">
                  <c:v>156264.75318143729</c:v>
                </c:pt>
                <c:pt idx="19">
                  <c:v>158725.39986201809</c:v>
                </c:pt>
                <c:pt idx="20">
                  <c:v>161152.20643121592</c:v>
                </c:pt>
                <c:pt idx="21">
                  <c:v>173662.1209542983</c:v>
                </c:pt>
                <c:pt idx="22">
                  <c:v>171022.09831254499</c:v>
                </c:pt>
                <c:pt idx="23">
                  <c:v>173410.23196228335</c:v>
                </c:pt>
                <c:pt idx="24">
                  <c:v>175767.23858168209</c:v>
                </c:pt>
                <c:pt idx="25">
                  <c:v>178156.16694764339</c:v>
                </c:pt>
                <c:pt idx="26">
                  <c:v>180602.28684730735</c:v>
                </c:pt>
                <c:pt idx="27">
                  <c:v>183066.65703842667</c:v>
                </c:pt>
                <c:pt idx="28">
                  <c:v>185569.92795069894</c:v>
                </c:pt>
                <c:pt idx="29">
                  <c:v>188094.13238857302</c:v>
                </c:pt>
                <c:pt idx="30">
                  <c:v>190751.0893209168</c:v>
                </c:pt>
                <c:pt idx="31">
                  <c:v>193456.15386906557</c:v>
                </c:pt>
                <c:pt idx="32">
                  <c:v>196278.68926127322</c:v>
                </c:pt>
                <c:pt idx="33">
                  <c:v>199246.78577531473</c:v>
                </c:pt>
                <c:pt idx="34">
                  <c:v>202293.28743376257</c:v>
                </c:pt>
                <c:pt idx="35">
                  <c:v>205566.12337170329</c:v>
                </c:pt>
                <c:pt idx="36">
                  <c:v>208970.09024148167</c:v>
                </c:pt>
                <c:pt idx="37">
                  <c:v>212585.80520253797</c:v>
                </c:pt>
                <c:pt idx="38">
                  <c:v>216443.05120649264</c:v>
                </c:pt>
                <c:pt idx="39">
                  <c:v>220571.88659517508</c:v>
                </c:pt>
                <c:pt idx="40">
                  <c:v>225056.75782869675</c:v>
                </c:pt>
                <c:pt idx="41">
                  <c:v>229798.68256699713</c:v>
                </c:pt>
                <c:pt idx="42">
                  <c:v>234937.93282492924</c:v>
                </c:pt>
                <c:pt idx="43">
                  <c:v>240566.55353767541</c:v>
                </c:pt>
                <c:pt idx="44">
                  <c:v>246605.9492901768</c:v>
                </c:pt>
                <c:pt idx="45">
                  <c:v>253207.70551490894</c:v>
                </c:pt>
                <c:pt idx="46">
                  <c:v>260411.4550753464</c:v>
                </c:pt>
                <c:pt idx="47">
                  <c:v>268257.47817446239</c:v>
                </c:pt>
                <c:pt idx="48">
                  <c:v>276850.11479581427</c:v>
                </c:pt>
                <c:pt idx="49">
                  <c:v>286279.79212192539</c:v>
                </c:pt>
                <c:pt idx="50">
                  <c:v>296592.81708173378</c:v>
                </c:pt>
                <c:pt idx="51">
                  <c:v>307993.42448763794</c:v>
                </c:pt>
                <c:pt idx="52">
                  <c:v>320560.30053183227</c:v>
                </c:pt>
                <c:pt idx="53">
                  <c:v>334350.91321293788</c:v>
                </c:pt>
                <c:pt idx="54">
                  <c:v>359750.96835727844</c:v>
                </c:pt>
                <c:pt idx="55">
                  <c:v>371640.82670617802</c:v>
                </c:pt>
                <c:pt idx="56">
                  <c:v>390281.88214045955</c:v>
                </c:pt>
                <c:pt idx="57">
                  <c:v>410894.08289888193</c:v>
                </c:pt>
                <c:pt idx="58">
                  <c:v>433682.98417368456</c:v>
                </c:pt>
                <c:pt idx="59">
                  <c:v>459008.90614358574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C-7B43-8EE4-ACF46CD58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757032240"/>
        <c:axId val="-1797149216"/>
      </c:lineChart>
      <c:catAx>
        <c:axId val="-1757032240"/>
        <c:scaling>
          <c:orientation val="minMax"/>
        </c:scaling>
        <c:delete val="0"/>
        <c:axPos val="b"/>
        <c:majorTickMark val="out"/>
        <c:minorTickMark val="none"/>
        <c:tickLblPos val="nextTo"/>
        <c:crossAx val="-1797149216"/>
        <c:crosses val="autoZero"/>
        <c:auto val="1"/>
        <c:lblAlgn val="ctr"/>
        <c:lblOffset val="100"/>
        <c:noMultiLvlLbl val="0"/>
      </c:catAx>
      <c:valAx>
        <c:axId val="-1797149216"/>
        <c:scaling>
          <c:orientation val="minMax"/>
          <c:max val="10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-1757032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5.4464315813734301E-2"/>
          <c:y val="0.20442260442260399"/>
          <c:w val="0.85724137693797398"/>
          <c:h val="0.65136798932074502"/>
        </c:manualLayout>
      </c:layout>
      <c:areaChart>
        <c:grouping val="standard"/>
        <c:varyColors val="0"/>
        <c:ser>
          <c:idx val="0"/>
          <c:order val="0"/>
          <c:tx>
            <c:v>Cash in Bank</c:v>
          </c:tx>
          <c:spPr>
            <a:solidFill>
              <a:schemeClr val="accent3">
                <a:lumMod val="75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</c:spPr>
          <c:val>
            <c:numRef>
              <c:f>'Monthly Cash Flow'!$C$27:$BJ$27</c:f>
              <c:numCache>
                <c:formatCode>_("$"* #,##0_);_("$"* \(#,##0\);_("$"* "-"??_);_(@_)</c:formatCode>
                <c:ptCount val="60"/>
                <c:pt idx="0">
                  <c:v>967395.34207833337</c:v>
                </c:pt>
                <c:pt idx="1">
                  <c:v>928367.55163566675</c:v>
                </c:pt>
                <c:pt idx="2">
                  <c:v>883581.48974880006</c:v>
                </c:pt>
                <c:pt idx="3">
                  <c:v>802868.5053202667</c:v>
                </c:pt>
                <c:pt idx="4">
                  <c:v>699900.31405093335</c:v>
                </c:pt>
                <c:pt idx="5">
                  <c:v>622416.56216000952</c:v>
                </c:pt>
                <c:pt idx="6">
                  <c:v>541334.08593449055</c:v>
                </c:pt>
                <c:pt idx="7">
                  <c:v>461839.4080304227</c:v>
                </c:pt>
                <c:pt idx="8">
                  <c:v>383898.99852101807</c:v>
                </c:pt>
                <c:pt idx="9">
                  <c:v>307521.53473285504</c:v>
                </c:pt>
                <c:pt idx="10">
                  <c:v>232684.67141503427</c:v>
                </c:pt>
                <c:pt idx="11">
                  <c:v>159382.60161276936</c:v>
                </c:pt>
                <c:pt idx="12">
                  <c:v>2583127.515500918</c:v>
                </c:pt>
                <c:pt idx="13">
                  <c:v>2491482.0682445704</c:v>
                </c:pt>
                <c:pt idx="14">
                  <c:v>2411316.8279556818</c:v>
                </c:pt>
                <c:pt idx="15">
                  <c:v>2332647.997786175</c:v>
                </c:pt>
                <c:pt idx="16">
                  <c:v>2255444.7750661331</c:v>
                </c:pt>
                <c:pt idx="17">
                  <c:v>2179701.7425971497</c:v>
                </c:pt>
                <c:pt idx="18">
                  <c:v>2105385.0454893899</c:v>
                </c:pt>
                <c:pt idx="19">
                  <c:v>2032529.7958919292</c:v>
                </c:pt>
                <c:pt idx="20">
                  <c:v>1961141.1926228614</c:v>
                </c:pt>
                <c:pt idx="21">
                  <c:v>1893185.7975410144</c:v>
                </c:pt>
                <c:pt idx="22">
                  <c:v>1809574.2733272577</c:v>
                </c:pt>
                <c:pt idx="23">
                  <c:v>1737182.1864295746</c:v>
                </c:pt>
                <c:pt idx="24">
                  <c:v>1666026.0096452709</c:v>
                </c:pt>
                <c:pt idx="25">
                  <c:v>1596082.2645795217</c:v>
                </c:pt>
                <c:pt idx="26">
                  <c:v>1527359.62526564</c:v>
                </c:pt>
                <c:pt idx="27">
                  <c:v>1459886.4020089833</c:v>
                </c:pt>
                <c:pt idx="28">
                  <c:v>1393671.8346537694</c:v>
                </c:pt>
                <c:pt idx="29">
                  <c:v>1328730.9957230953</c:v>
                </c:pt>
                <c:pt idx="30">
                  <c:v>1265064.4593613809</c:v>
                </c:pt>
                <c:pt idx="31">
                  <c:v>1202739.0183116177</c:v>
                </c:pt>
                <c:pt idx="32">
                  <c:v>1141772.5765253459</c:v>
                </c:pt>
                <c:pt idx="33">
                  <c:v>1082221.7664977619</c:v>
                </c:pt>
                <c:pt idx="34">
                  <c:v>1024156.3611124086</c:v>
                </c:pt>
                <c:pt idx="35">
                  <c:v>967606.3040748504</c:v>
                </c:pt>
                <c:pt idx="36">
                  <c:v>912678.99435189681</c:v>
                </c:pt>
                <c:pt idx="37">
                  <c:v>859438.72200459975</c:v>
                </c:pt>
                <c:pt idx="38">
                  <c:v>807982.3464337734</c:v>
                </c:pt>
                <c:pt idx="39">
                  <c:v>758422.11198333325</c:v>
                </c:pt>
                <c:pt idx="40">
                  <c:v>710881.94108536292</c:v>
                </c:pt>
                <c:pt idx="41">
                  <c:v>665539.52977189037</c:v>
                </c:pt>
                <c:pt idx="42">
                  <c:v>622511.69050596934</c:v>
                </c:pt>
                <c:pt idx="43">
                  <c:v>581981.57871523313</c:v>
                </c:pt>
                <c:pt idx="44">
                  <c:v>544186.8161646825</c:v>
                </c:pt>
                <c:pt idx="45">
                  <c:v>509317.77633050794</c:v>
                </c:pt>
                <c:pt idx="46">
                  <c:v>477640.72317778622</c:v>
                </c:pt>
                <c:pt idx="47">
                  <c:v>449441.84555348667</c:v>
                </c:pt>
                <c:pt idx="48">
                  <c:v>425023.06776525558</c:v>
                </c:pt>
                <c:pt idx="49">
                  <c:v>404731.60757590859</c:v>
                </c:pt>
                <c:pt idx="50">
                  <c:v>388968.02402972645</c:v>
                </c:pt>
                <c:pt idx="51">
                  <c:v>378142.96144494438</c:v>
                </c:pt>
                <c:pt idx="52">
                  <c:v>372769.2829138806</c:v>
                </c:pt>
                <c:pt idx="53">
                  <c:v>373402.68523050117</c:v>
                </c:pt>
                <c:pt idx="54">
                  <c:v>382389.99876629323</c:v>
                </c:pt>
                <c:pt idx="55">
                  <c:v>381750.31658016244</c:v>
                </c:pt>
                <c:pt idx="56">
                  <c:v>399144.66938223544</c:v>
                </c:pt>
                <c:pt idx="57">
                  <c:v>425389.43361846078</c:v>
                </c:pt>
                <c:pt idx="58">
                  <c:v>461409.25233874848</c:v>
                </c:pt>
                <c:pt idx="59">
                  <c:v>508209.55627352936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38-9441-88B2-269AF5ED0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57144240"/>
        <c:axId val="-1757120576"/>
      </c:areaChart>
      <c:catAx>
        <c:axId val="-1757144240"/>
        <c:scaling>
          <c:orientation val="minMax"/>
        </c:scaling>
        <c:delete val="0"/>
        <c:axPos val="b"/>
        <c:majorTickMark val="out"/>
        <c:minorTickMark val="none"/>
        <c:tickLblPos val="nextTo"/>
        <c:crossAx val="-1757120576"/>
        <c:crosses val="autoZero"/>
        <c:auto val="1"/>
        <c:lblAlgn val="ctr"/>
        <c:lblOffset val="100"/>
        <c:noMultiLvlLbl val="0"/>
      </c:catAx>
      <c:valAx>
        <c:axId val="-1757120576"/>
        <c:scaling>
          <c:orientation val="minMax"/>
          <c:max val="50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-1757144240"/>
        <c:crosses val="autoZero"/>
        <c:crossBetween val="midCat"/>
        <c:majorUnit val="1000000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areaChart>
        <c:grouping val="standard"/>
        <c:varyColors val="0"/>
        <c:ser>
          <c:idx val="2"/>
          <c:order val="0"/>
          <c:tx>
            <c:v>Founder's Equity Value</c:v>
          </c:tx>
          <c:val>
            <c:numRef>
              <c:f>'Monthly Balance Sheet'!$C$26:$BJ$26</c:f>
              <c:numCache>
                <c:formatCode>_("$"* #,##0_);_("$"* \(#,##0\);_("$"* "-"??_);_(@_)</c:formatCode>
                <c:ptCount val="60"/>
                <c:pt idx="0">
                  <c:v>774279.45840591681</c:v>
                </c:pt>
                <c:pt idx="1">
                  <c:v>0</c:v>
                </c:pt>
                <c:pt idx="2">
                  <c:v>749839.78974891989</c:v>
                </c:pt>
                <c:pt idx="3">
                  <c:v>719977.6867453733</c:v>
                </c:pt>
                <c:pt idx="4">
                  <c:v>1357855.9006291069</c:v>
                </c:pt>
                <c:pt idx="5">
                  <c:v>1498298.8225881937</c:v>
                </c:pt>
                <c:pt idx="6">
                  <c:v>1644244.9180586173</c:v>
                </c:pt>
                <c:pt idx="7">
                  <c:v>1784882.6282034556</c:v>
                </c:pt>
                <c:pt idx="8">
                  <c:v>1924433.8894967346</c:v>
                </c:pt>
                <c:pt idx="9">
                  <c:v>2059611.8702634212</c:v>
                </c:pt>
                <c:pt idx="10">
                  <c:v>2192359.1804507575</c:v>
                </c:pt>
                <c:pt idx="11">
                  <c:v>2320584.0155066336</c:v>
                </c:pt>
                <c:pt idx="12">
                  <c:v>2501235.9936501286</c:v>
                </c:pt>
                <c:pt idx="13">
                  <c:v>2568657.8115721084</c:v>
                </c:pt>
                <c:pt idx="14">
                  <c:v>2640173.3285233844</c:v>
                </c:pt>
                <c:pt idx="15">
                  <c:v>2708684.1556016086</c:v>
                </c:pt>
                <c:pt idx="16">
                  <c:v>2777042.6978663807</c:v>
                </c:pt>
                <c:pt idx="17">
                  <c:v>2843121.9073413038</c:v>
                </c:pt>
                <c:pt idx="18">
                  <c:v>2910977.0365321711</c:v>
                </c:pt>
                <c:pt idx="19">
                  <c:v>2978999.6924563395</c:v>
                </c:pt>
                <c:pt idx="20">
                  <c:v>3046819.5363887809</c:v>
                </c:pt>
                <c:pt idx="21">
                  <c:v>3109265.9497639821</c:v>
                </c:pt>
                <c:pt idx="22">
                  <c:v>3164187.2234776146</c:v>
                </c:pt>
                <c:pt idx="23">
                  <c:v>3224545.336020912</c:v>
                </c:pt>
                <c:pt idx="24">
                  <c:v>3284206.4316249695</c:v>
                </c:pt>
                <c:pt idx="25">
                  <c:v>3345443.4512620927</c:v>
                </c:pt>
                <c:pt idx="26">
                  <c:v>3409211.1283042496</c:v>
                </c:pt>
                <c:pt idx="27">
                  <c:v>3474151.1854623929</c:v>
                </c:pt>
                <c:pt idx="28">
                  <c:v>3540939.963980509</c:v>
                </c:pt>
                <c:pt idx="29">
                  <c:v>3609011.6286749272</c:v>
                </c:pt>
                <c:pt idx="30">
                  <c:v>3682369.0591750392</c:v>
                </c:pt>
                <c:pt idx="31">
                  <c:v>3758059.8980887695</c:v>
                </c:pt>
                <c:pt idx="32">
                  <c:v>3838598.376679807</c:v>
                </c:pt>
                <c:pt idx="33">
                  <c:v>3924943.8825891023</c:v>
                </c:pt>
                <c:pt idx="34">
                  <c:v>4014820.903476493</c:v>
                </c:pt>
                <c:pt idx="35">
                  <c:v>4113460.761096518</c:v>
                </c:pt>
                <c:pt idx="36">
                  <c:v>4217673.8357286444</c:v>
                </c:pt>
                <c:pt idx="37">
                  <c:v>4330276.0885929978</c:v>
                </c:pt>
                <c:pt idx="38">
                  <c:v>4452421.6914890809</c:v>
                </c:pt>
                <c:pt idx="39">
                  <c:v>4585281.6037581172</c:v>
                </c:pt>
                <c:pt idx="40">
                  <c:v>4731949.0934914164</c:v>
                </c:pt>
                <c:pt idx="41">
                  <c:v>4889017.1897637993</c:v>
                </c:pt>
                <c:pt idx="42">
                  <c:v>5061545.6667201286</c:v>
                </c:pt>
                <c:pt idx="43">
                  <c:v>5252922.3676711125</c:v>
                </c:pt>
                <c:pt idx="44">
                  <c:v>5460544.3168120822</c:v>
                </c:pt>
                <c:pt idx="45">
                  <c:v>5689903.2459472315</c:v>
                </c:pt>
                <c:pt idx="46">
                  <c:v>5942577.2086983779</c:v>
                </c:pt>
                <c:pt idx="47">
                  <c:v>6220176.7027092334</c:v>
                </c:pt>
                <c:pt idx="48">
                  <c:v>6526577.9911170499</c:v>
                </c:pt>
                <c:pt idx="49">
                  <c:v>6865303.38982007</c:v>
                </c:pt>
                <c:pt idx="50">
                  <c:v>7238227.7233524714</c:v>
                </c:pt>
                <c:pt idx="51">
                  <c:v>7652856.076135233</c:v>
                </c:pt>
                <c:pt idx="52">
                  <c:v>8112312.4602863984</c:v>
                </c:pt>
                <c:pt idx="53">
                  <c:v>8618935.0401805583</c:v>
                </c:pt>
                <c:pt idx="54">
                  <c:v>9183411.4776610956</c:v>
                </c:pt>
                <c:pt idx="55">
                  <c:v>9802779.1387548838</c:v>
                </c:pt>
                <c:pt idx="56">
                  <c:v>10493291.219637994</c:v>
                </c:pt>
                <c:pt idx="57">
                  <c:v>11259310.566427369</c:v>
                </c:pt>
                <c:pt idx="58">
                  <c:v>12108678.025014622</c:v>
                </c:pt>
                <c:pt idx="59">
                  <c:v>13054900.614839138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F-424D-89B9-48388CBD5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55826848"/>
        <c:axId val="-1755824800"/>
      </c:areaChart>
      <c:catAx>
        <c:axId val="-1755826848"/>
        <c:scaling>
          <c:orientation val="minMax"/>
        </c:scaling>
        <c:delete val="0"/>
        <c:axPos val="b"/>
        <c:majorTickMark val="out"/>
        <c:minorTickMark val="none"/>
        <c:tickLblPos val="nextTo"/>
        <c:crossAx val="-1755824800"/>
        <c:crosses val="autoZero"/>
        <c:auto val="1"/>
        <c:lblAlgn val="ctr"/>
        <c:lblOffset val="100"/>
        <c:noMultiLvlLbl val="0"/>
      </c:catAx>
      <c:valAx>
        <c:axId val="-1755824800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-17558268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1430869</xdr:colOff>
      <xdr:row>0</xdr:row>
      <xdr:rowOff>0</xdr:rowOff>
    </xdr:from>
    <xdr:to>
      <xdr:col>1</xdr:col>
      <xdr:colOff>1955801</xdr:colOff>
      <xdr:row>1</xdr:row>
      <xdr:rowOff>25399</xdr:rowOff>
    </xdr:to>
    <xdr:pic>
      <xdr:nvPicPr>
        <xdr:cNvPr id="2" name="Picture 1" descr="dollar_cave_club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869" y="0"/>
          <a:ext cx="524932" cy="524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486833</xdr:colOff>
      <xdr:row>13</xdr:row>
      <xdr:rowOff>122767</xdr:rowOff>
    </xdr:from>
    <xdr:to>
      <xdr:col>63</xdr:col>
      <xdr:colOff>105833</xdr:colOff>
      <xdr:row>28</xdr:row>
      <xdr:rowOff>8467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3</xdr:row>
      <xdr:rowOff>95250</xdr:rowOff>
    </xdr:from>
    <xdr:to>
      <xdr:col>20</xdr:col>
      <xdr:colOff>76200</xdr:colOff>
      <xdr:row>41</xdr:row>
      <xdr:rowOff>114300</xdr:rowOff>
    </xdr:to>
    <xdr:graphicFrame macro="">
      <xdr:nvGraphicFramePr>
        <xdr:cNvPr id="5" name="Chart 4" title="Revenue and Expense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241300</xdr:colOff>
      <xdr:row>43</xdr:row>
      <xdr:rowOff>95250</xdr:rowOff>
    </xdr:from>
    <xdr:to>
      <xdr:col>20</xdr:col>
      <xdr:colOff>381000</xdr:colOff>
      <xdr:row>57</xdr:row>
      <xdr:rowOff>139700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31750</xdr:colOff>
      <xdr:row>60</xdr:row>
      <xdr:rowOff>184150</xdr:rowOff>
    </xdr:from>
    <xdr:to>
      <xdr:col>21</xdr:col>
      <xdr:colOff>203200</xdr:colOff>
      <xdr:row>74</xdr:row>
      <xdr:rowOff>177800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59"/>
  <sheetViews>
    <sheetView tabSelected="1" zoomScale="220" zoomScaleNormal="220" zoomScalePageLayoutView="150" workbookViewId="0">
      <pane xSplit="3" topLeftCell="D1" activePane="topRight" state="frozen"/>
      <selection pane="topRight" activeCell="C4" sqref="C4"/>
    </sheetView>
    <sheetView zoomScale="220" zoomScaleNormal="220" zoomScalePageLayoutView="150" workbookViewId="1">
      <selection activeCell="C9" sqref="C9"/>
    </sheetView>
  </sheetViews>
  <sheetFormatPr baseColWidth="10" defaultRowHeight="16" x14ac:dyDescent="0.2"/>
  <cols>
    <col min="1" max="1" width="2.83203125" customWidth="1"/>
    <col min="2" max="2" width="35.5" customWidth="1"/>
    <col min="3" max="3" width="14.1640625" style="103" bestFit="1" customWidth="1"/>
  </cols>
  <sheetData>
    <row r="1" spans="2:3" ht="39" customHeight="1" x14ac:dyDescent="0.25">
      <c r="B1" s="16" t="s">
        <v>65</v>
      </c>
    </row>
    <row r="2" spans="2:3" x14ac:dyDescent="0.2">
      <c r="B2" t="s">
        <v>1</v>
      </c>
    </row>
    <row r="4" spans="2:3" x14ac:dyDescent="0.2">
      <c r="B4" t="s">
        <v>165</v>
      </c>
      <c r="C4" s="100">
        <v>29.99</v>
      </c>
    </row>
    <row r="5" spans="2:3" x14ac:dyDescent="0.2">
      <c r="B5" t="s">
        <v>174</v>
      </c>
      <c r="C5" s="102">
        <v>0.04</v>
      </c>
    </row>
    <row r="7" spans="2:3" x14ac:dyDescent="0.2">
      <c r="B7" t="s">
        <v>33</v>
      </c>
      <c r="C7" s="103">
        <v>3.5</v>
      </c>
    </row>
    <row r="8" spans="2:3" x14ac:dyDescent="0.2">
      <c r="B8" t="s">
        <v>144</v>
      </c>
      <c r="C8" s="101">
        <v>0.1</v>
      </c>
    </row>
    <row r="9" spans="2:3" x14ac:dyDescent="0.2">
      <c r="B9" t="s">
        <v>166</v>
      </c>
      <c r="C9" s="100">
        <v>1.5</v>
      </c>
    </row>
    <row r="10" spans="2:3" x14ac:dyDescent="0.2">
      <c r="C10" s="101"/>
    </row>
    <row r="11" spans="2:3" x14ac:dyDescent="0.2">
      <c r="B11" t="s">
        <v>168</v>
      </c>
      <c r="C11" s="104">
        <v>10000</v>
      </c>
    </row>
    <row r="12" spans="2:3" x14ac:dyDescent="0.2">
      <c r="B12" t="s">
        <v>167</v>
      </c>
      <c r="C12" s="104">
        <f>SteadyStateMonthlySEMSpend</f>
        <v>10000</v>
      </c>
    </row>
    <row r="13" spans="2:3" x14ac:dyDescent="0.2">
      <c r="B13" s="43" t="s">
        <v>96</v>
      </c>
      <c r="C13" s="101"/>
    </row>
    <row r="15" spans="2:3" x14ac:dyDescent="0.2">
      <c r="B15" t="s">
        <v>29</v>
      </c>
      <c r="C15" s="102">
        <v>0.02</v>
      </c>
    </row>
    <row r="16" spans="2:3" x14ac:dyDescent="0.2">
      <c r="B16" t="s">
        <v>30</v>
      </c>
      <c r="C16" s="102">
        <v>0.01</v>
      </c>
    </row>
    <row r="17" spans="2:3" x14ac:dyDescent="0.2">
      <c r="C17" s="102"/>
    </row>
    <row r="18" spans="2:3" x14ac:dyDescent="0.2">
      <c r="B18" t="s">
        <v>32</v>
      </c>
      <c r="C18" s="102">
        <v>4.4999999999999998E-2</v>
      </c>
    </row>
    <row r="19" spans="2:3" x14ac:dyDescent="0.2">
      <c r="B19" t="s">
        <v>31</v>
      </c>
      <c r="C19" s="102">
        <v>2.5000000000000001E-2</v>
      </c>
    </row>
    <row r="20" spans="2:3" x14ac:dyDescent="0.2">
      <c r="C20" s="102"/>
    </row>
    <row r="21" spans="2:3" x14ac:dyDescent="0.2">
      <c r="C21" s="102"/>
    </row>
    <row r="22" spans="2:3" x14ac:dyDescent="0.2">
      <c r="B22" t="s">
        <v>66</v>
      </c>
      <c r="C22" s="102">
        <v>2E-3</v>
      </c>
    </row>
    <row r="23" spans="2:3" x14ac:dyDescent="0.2">
      <c r="B23" t="s">
        <v>67</v>
      </c>
      <c r="C23" s="102">
        <v>5.0000000000000001E-3</v>
      </c>
    </row>
    <row r="25" spans="2:3" x14ac:dyDescent="0.2">
      <c r="B25" t="s">
        <v>36</v>
      </c>
      <c r="C25" s="101">
        <v>0.1</v>
      </c>
    </row>
    <row r="26" spans="2:3" x14ac:dyDescent="0.2">
      <c r="B26" t="s">
        <v>39</v>
      </c>
      <c r="C26" s="101">
        <v>0.33</v>
      </c>
    </row>
    <row r="27" spans="2:3" x14ac:dyDescent="0.2">
      <c r="C27" s="101"/>
    </row>
    <row r="28" spans="2:3" x14ac:dyDescent="0.2">
      <c r="B28" t="s">
        <v>35</v>
      </c>
      <c r="C28" s="100">
        <v>2.25</v>
      </c>
    </row>
    <row r="29" spans="2:3" x14ac:dyDescent="0.2">
      <c r="B29" t="s">
        <v>5</v>
      </c>
      <c r="C29" s="100">
        <v>1.85</v>
      </c>
    </row>
    <row r="30" spans="2:3" x14ac:dyDescent="0.2">
      <c r="B30" t="s">
        <v>7</v>
      </c>
      <c r="C30" s="103">
        <v>5</v>
      </c>
    </row>
    <row r="31" spans="2:3" x14ac:dyDescent="0.2">
      <c r="B31" t="s">
        <v>8</v>
      </c>
      <c r="C31" s="103">
        <v>25</v>
      </c>
    </row>
    <row r="33" spans="2:3" x14ac:dyDescent="0.2">
      <c r="B33" t="s">
        <v>41</v>
      </c>
      <c r="C33" s="102">
        <v>0.25</v>
      </c>
    </row>
    <row r="34" spans="2:3" x14ac:dyDescent="0.2">
      <c r="B34" t="s">
        <v>42</v>
      </c>
      <c r="C34" s="102">
        <v>0.3</v>
      </c>
    </row>
    <row r="35" spans="2:3" x14ac:dyDescent="0.2">
      <c r="C35" s="102"/>
    </row>
    <row r="36" spans="2:3" x14ac:dyDescent="0.2">
      <c r="B36" t="s">
        <v>57</v>
      </c>
      <c r="C36" s="104">
        <v>500</v>
      </c>
    </row>
    <row r="37" spans="2:3" x14ac:dyDescent="0.2">
      <c r="B37" t="s">
        <v>169</v>
      </c>
      <c r="C37" s="104">
        <v>250</v>
      </c>
    </row>
    <row r="39" spans="2:3" x14ac:dyDescent="0.2">
      <c r="B39" t="s">
        <v>80</v>
      </c>
      <c r="C39" s="105">
        <v>5000</v>
      </c>
    </row>
    <row r="41" spans="2:3" x14ac:dyDescent="0.2">
      <c r="B41" t="s">
        <v>82</v>
      </c>
      <c r="C41" s="101">
        <v>0.25</v>
      </c>
    </row>
    <row r="42" spans="2:3" x14ac:dyDescent="0.2">
      <c r="B42" t="s">
        <v>88</v>
      </c>
      <c r="C42" s="104">
        <f>500</f>
        <v>500</v>
      </c>
    </row>
    <row r="43" spans="2:3" x14ac:dyDescent="0.2">
      <c r="B43" t="s">
        <v>87</v>
      </c>
      <c r="C43" s="104">
        <v>100</v>
      </c>
    </row>
    <row r="44" spans="2:3" x14ac:dyDescent="0.2">
      <c r="B44" t="s">
        <v>86</v>
      </c>
      <c r="C44" s="104">
        <v>500</v>
      </c>
    </row>
    <row r="45" spans="2:3" x14ac:dyDescent="0.2">
      <c r="C45" s="106"/>
    </row>
    <row r="46" spans="2:3" x14ac:dyDescent="0.2">
      <c r="B46" t="s">
        <v>89</v>
      </c>
      <c r="C46" s="104">
        <v>250</v>
      </c>
    </row>
    <row r="47" spans="2:3" x14ac:dyDescent="0.2">
      <c r="B47" t="s">
        <v>90</v>
      </c>
      <c r="C47" s="104">
        <v>100</v>
      </c>
    </row>
    <row r="48" spans="2:3" x14ac:dyDescent="0.2">
      <c r="B48" t="s">
        <v>91</v>
      </c>
      <c r="C48" s="104">
        <v>5000</v>
      </c>
    </row>
    <row r="49" spans="2:3" x14ac:dyDescent="0.2">
      <c r="C49" s="106"/>
    </row>
    <row r="50" spans="2:3" x14ac:dyDescent="0.2">
      <c r="B50" t="s">
        <v>151</v>
      </c>
      <c r="C50" s="104">
        <v>1000000</v>
      </c>
    </row>
    <row r="51" spans="2:3" x14ac:dyDescent="0.2">
      <c r="B51" t="s">
        <v>152</v>
      </c>
      <c r="C51" s="104">
        <v>3000000</v>
      </c>
    </row>
    <row r="52" spans="2:3" x14ac:dyDescent="0.2">
      <c r="B52" t="s">
        <v>153</v>
      </c>
      <c r="C52" s="101">
        <v>0.1</v>
      </c>
    </row>
    <row r="53" spans="2:3" x14ac:dyDescent="0.2">
      <c r="B53" t="s">
        <v>139</v>
      </c>
      <c r="C53" s="104">
        <v>2500000</v>
      </c>
    </row>
    <row r="55" spans="2:3" x14ac:dyDescent="0.2">
      <c r="B55" t="s">
        <v>115</v>
      </c>
      <c r="C55" s="105">
        <v>30</v>
      </c>
    </row>
    <row r="56" spans="2:3" x14ac:dyDescent="0.2">
      <c r="B56" t="s">
        <v>116</v>
      </c>
      <c r="C56" s="105">
        <v>60</v>
      </c>
    </row>
    <row r="57" spans="2:3" x14ac:dyDescent="0.2">
      <c r="B57" t="s">
        <v>117</v>
      </c>
      <c r="C57" s="105">
        <v>30</v>
      </c>
    </row>
    <row r="59" spans="2:3" x14ac:dyDescent="0.2">
      <c r="B59" t="s">
        <v>170</v>
      </c>
      <c r="C59" s="107">
        <v>5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P2"/>
  <sheetViews>
    <sheetView workbookViewId="0">
      <selection activeCell="E3" sqref="E3"/>
    </sheetView>
    <sheetView zoomScale="110" zoomScaleNormal="110" zoomScalePageLayoutView="90" workbookViewId="1"/>
  </sheetViews>
  <sheetFormatPr baseColWidth="10" defaultRowHeight="16" x14ac:dyDescent="0.2"/>
  <sheetData>
    <row r="2" spans="5:16" ht="24" x14ac:dyDescent="0.3">
      <c r="E2" s="50" t="s">
        <v>149</v>
      </c>
      <c r="F2" s="50"/>
      <c r="G2" s="50"/>
      <c r="H2" s="50"/>
      <c r="I2" s="50"/>
      <c r="J2" s="50"/>
      <c r="K2" s="50"/>
      <c r="L2" s="50"/>
      <c r="M2" s="51"/>
      <c r="N2" s="51"/>
      <c r="O2" s="51"/>
      <c r="P2" s="51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40"/>
  <sheetViews>
    <sheetView workbookViewId="0">
      <selection activeCell="A23" sqref="A23"/>
    </sheetView>
    <sheetView zoomScale="170" zoomScaleNormal="170" zoomScalePageLayoutView="150" workbookViewId="1">
      <selection activeCell="C3" sqref="C3"/>
    </sheetView>
  </sheetViews>
  <sheetFormatPr baseColWidth="10" defaultRowHeight="16" x14ac:dyDescent="0.2"/>
  <cols>
    <col min="1" max="1" width="6.33203125" style="20" customWidth="1"/>
    <col min="2" max="2" width="19.5" style="20" bestFit="1" customWidth="1"/>
    <col min="3" max="7" width="18.6640625" customWidth="1"/>
  </cols>
  <sheetData>
    <row r="1" spans="1:7" x14ac:dyDescent="0.2">
      <c r="A1" s="21" t="s">
        <v>94</v>
      </c>
    </row>
    <row r="2" spans="1:7" x14ac:dyDescent="0.2">
      <c r="B2" s="24" t="s">
        <v>92</v>
      </c>
      <c r="C2" s="3">
        <v>2021</v>
      </c>
      <c r="D2" s="3">
        <f>C2+1</f>
        <v>2022</v>
      </c>
      <c r="E2" s="3">
        <f t="shared" ref="E2:G2" si="0">D2+1</f>
        <v>2023</v>
      </c>
      <c r="F2" s="3">
        <f t="shared" si="0"/>
        <v>2024</v>
      </c>
      <c r="G2" s="3">
        <f t="shared" si="0"/>
        <v>2025</v>
      </c>
    </row>
    <row r="3" spans="1:7" x14ac:dyDescent="0.2">
      <c r="A3" s="20" t="str">
        <f>'Monthly Income Statement'!A3</f>
        <v>Revenue</v>
      </c>
    </row>
    <row r="4" spans="1:7" x14ac:dyDescent="0.2">
      <c r="B4" s="20" t="str">
        <f>'Monthly Income Statement'!B4</f>
        <v>Subscription</v>
      </c>
      <c r="C4" s="1">
        <f>SUM('Monthly Income Statement'!C4:N4)</f>
        <v>188367.19</v>
      </c>
      <c r="D4" s="1">
        <f>SUM('Monthly Income Statement'!O4:Z4)</f>
        <v>654081.89999999991</v>
      </c>
      <c r="E4" s="1">
        <f>SUM('Monthly Income Statement'!AA4:AL4)</f>
        <v>1023618.6799999999</v>
      </c>
      <c r="F4" s="1">
        <f>SUM('Monthly Income Statement'!AM4:AX4)</f>
        <v>1452325.73</v>
      </c>
      <c r="G4" s="1">
        <f>SUM('Monthly Income Statement'!AY4:BJ4)</f>
        <v>2345188.0100000002</v>
      </c>
    </row>
    <row r="5" spans="1:7" x14ac:dyDescent="0.2">
      <c r="B5" s="20" t="str">
        <f>'Monthly Income Statement'!B5</f>
        <v>Add-ons</v>
      </c>
      <c r="C5" s="1">
        <f>SUM('Monthly Income Statement'!C5:N5)</f>
        <v>19581.896375000004</v>
      </c>
      <c r="D5" s="1">
        <f>SUM('Monthly Income Statement'!O5:Z5)</f>
        <v>91967.446462500011</v>
      </c>
      <c r="E5" s="1">
        <f>SUM('Monthly Income Statement'!AA5:AL5)</f>
        <v>153542.80200000003</v>
      </c>
      <c r="F5" s="1">
        <f>SUM('Monthly Income Statement'!AM5:AX5)</f>
        <v>217848.85949999999</v>
      </c>
      <c r="G5" s="1">
        <f>SUM('Monthly Income Statement'!AY5:BJ5)</f>
        <v>351778.20149999997</v>
      </c>
    </row>
    <row r="6" spans="1:7" x14ac:dyDescent="0.2">
      <c r="B6" s="20" t="str">
        <f>'Monthly Income Statement'!B6</f>
        <v>eCommerce</v>
      </c>
      <c r="C6" s="1">
        <f>SUM('Monthly Income Statement'!C6:N6)</f>
        <v>121331.65070839786</v>
      </c>
      <c r="D6" s="1">
        <f>SUM('Monthly Income Statement'!O6:Z6)</f>
        <v>231228.1452003236</v>
      </c>
      <c r="E6" s="1">
        <f>SUM('Monthly Income Statement'!AA6:AL6)</f>
        <v>348470.54702528688</v>
      </c>
      <c r="F6" s="1">
        <f>SUM('Monthly Income Statement'!AM6:AX6)</f>
        <v>658330.31750435825</v>
      </c>
      <c r="G6" s="1">
        <f>SUM('Monthly Income Statement'!AY6:BJ6)</f>
        <v>1693632.9395326814</v>
      </c>
    </row>
    <row r="7" spans="1:7" x14ac:dyDescent="0.2">
      <c r="B7" s="20" t="str">
        <f>'Monthly Income Statement'!B7</f>
        <v>Advertising</v>
      </c>
      <c r="C7" s="1">
        <f>SUM('Monthly Income Statement'!C7:N7)</f>
        <v>598.56040585641233</v>
      </c>
      <c r="D7" s="1">
        <f>SUM('Monthly Income Statement'!O7:Z7)</f>
        <v>2425.2922530684241</v>
      </c>
      <c r="E7" s="1">
        <f>SUM('Monthly Income Statement'!AA7:AL7)</f>
        <v>4195.3201598082142</v>
      </c>
      <c r="F7" s="1">
        <f>SUM('Monthly Income Statement'!AM7:AX7)</f>
        <v>9489.3494026020871</v>
      </c>
      <c r="G7" s="1">
        <f>SUM('Monthly Income Statement'!AY7:BJ7)</f>
        <v>26052.604415010959</v>
      </c>
    </row>
    <row r="8" spans="1:7" s="3" customFormat="1" x14ac:dyDescent="0.2">
      <c r="A8" s="22" t="str">
        <f>'Monthly Income Statement'!A8</f>
        <v>Gross Revenue</v>
      </c>
      <c r="B8" s="22"/>
      <c r="C8" s="23">
        <f>SUM(C4:C7)</f>
        <v>329879.29748925427</v>
      </c>
      <c r="D8" s="23">
        <f t="shared" ref="D8:G8" si="1">SUM(D4:D7)</f>
        <v>979702.78391589201</v>
      </c>
      <c r="E8" s="23">
        <f t="shared" si="1"/>
        <v>1529827.3491850949</v>
      </c>
      <c r="F8" s="23">
        <f t="shared" si="1"/>
        <v>2337994.2564069605</v>
      </c>
      <c r="G8" s="23">
        <f t="shared" si="1"/>
        <v>4416651.7554476922</v>
      </c>
    </row>
    <row r="9" spans="1:7" x14ac:dyDescent="0.2">
      <c r="C9" s="1"/>
      <c r="D9" s="1"/>
      <c r="E9" s="1"/>
      <c r="F9" s="1"/>
      <c r="G9" s="1"/>
    </row>
    <row r="10" spans="1:7" x14ac:dyDescent="0.2">
      <c r="A10" s="20" t="str">
        <f>'Monthly Income Statement'!A10</f>
        <v>Direct Costs</v>
      </c>
      <c r="C10" s="1"/>
      <c r="D10" s="1"/>
      <c r="E10" s="1"/>
      <c r="F10" s="1"/>
      <c r="G10" s="1"/>
    </row>
    <row r="11" spans="1:7" x14ac:dyDescent="0.2">
      <c r="B11" s="20" t="str">
        <f>'Monthly Income Statement'!B11</f>
        <v>Internet infrastructure</v>
      </c>
      <c r="C11" s="1">
        <f>SUM('Monthly Income Statement'!C11:N11)</f>
        <v>6034.7688915976451</v>
      </c>
      <c r="D11" s="1">
        <f>SUM('Monthly Income Statement'!O11:Z11)</f>
        <v>6062.2020082370991</v>
      </c>
      <c r="E11" s="1">
        <f>SUM('Monthly Income Statement'!AA11:AL11)</f>
        <v>6105.145868666872</v>
      </c>
      <c r="F11" s="1">
        <f>SUM('Monthly Income Statement'!AM11:AX11)</f>
        <v>6237.8283058296265</v>
      </c>
      <c r="G11" s="1">
        <f>SUM('Monthly Income Statement'!AY11:BJ11)</f>
        <v>6652.9474790729564</v>
      </c>
    </row>
    <row r="12" spans="1:7" x14ac:dyDescent="0.2">
      <c r="B12" s="20" t="str">
        <f>'Monthly Income Statement'!B12</f>
        <v>Subscription</v>
      </c>
      <c r="C12" s="1">
        <f>SUM('Monthly Income Statement'!C12:N12)</f>
        <v>141275.39250000002</v>
      </c>
      <c r="D12" s="1">
        <f>SUM('Monthly Income Statement'!O12:Z12)</f>
        <v>490561.42499999993</v>
      </c>
      <c r="E12" s="1">
        <f>SUM('Monthly Income Statement'!AA12:AL12)</f>
        <v>767714.00999999989</v>
      </c>
      <c r="F12" s="1">
        <f>SUM('Monthly Income Statement'!AM12:AX12)</f>
        <v>1089244.2974999999</v>
      </c>
      <c r="G12" s="1">
        <f>SUM('Monthly Income Statement'!AY12:BJ12)</f>
        <v>1758891.0074999998</v>
      </c>
    </row>
    <row r="13" spans="1:7" x14ac:dyDescent="0.2">
      <c r="B13" s="20" t="str">
        <f>'Monthly Income Statement'!B13</f>
        <v>eCommerce</v>
      </c>
      <c r="C13" s="1">
        <f>SUM('Monthly Income Statement'!C13:N13)</f>
        <v>84932.155495878498</v>
      </c>
      <c r="D13" s="1">
        <f>SUM('Monthly Income Statement'!O13:Z13)</f>
        <v>161859.70164022653</v>
      </c>
      <c r="E13" s="1">
        <f>SUM('Monthly Income Statement'!AA13:AL13)</f>
        <v>243929.38291770071</v>
      </c>
      <c r="F13" s="1">
        <f>SUM('Monthly Income Statement'!AM13:AX13)</f>
        <v>460831.22225305066</v>
      </c>
      <c r="G13" s="1">
        <f>SUM('Monthly Income Statement'!AY13:BJ13)</f>
        <v>1185543.0576728771</v>
      </c>
    </row>
    <row r="14" spans="1:7" s="3" customFormat="1" x14ac:dyDescent="0.2">
      <c r="A14" s="21" t="str">
        <f>'Monthly Income Statement'!A14</f>
        <v>Total Costs</v>
      </c>
      <c r="B14" s="21"/>
      <c r="C14" s="12">
        <f>SUM(C11:C13)</f>
        <v>232242.31688747613</v>
      </c>
      <c r="D14" s="12">
        <f t="shared" ref="D14:G14" si="2">SUM(D11:D13)</f>
        <v>658483.32864846359</v>
      </c>
      <c r="E14" s="12">
        <f t="shared" si="2"/>
        <v>1017748.5387863674</v>
      </c>
      <c r="F14" s="12">
        <f t="shared" si="2"/>
        <v>1556313.3480588801</v>
      </c>
      <c r="G14" s="12">
        <f t="shared" si="2"/>
        <v>2951087.0126519501</v>
      </c>
    </row>
    <row r="15" spans="1:7" x14ac:dyDescent="0.2">
      <c r="C15" s="1"/>
      <c r="D15" s="1"/>
      <c r="E15" s="1"/>
      <c r="F15" s="1"/>
      <c r="G15" s="1"/>
    </row>
    <row r="16" spans="1:7" s="3" customFormat="1" x14ac:dyDescent="0.2">
      <c r="A16" s="21" t="str">
        <f>'Monthly Income Statement'!A16</f>
        <v>Gross Profit</v>
      </c>
      <c r="B16" s="21"/>
      <c r="C16" s="12">
        <f>C8-C14</f>
        <v>97636.980601778137</v>
      </c>
      <c r="D16" s="12">
        <f t="shared" ref="D16:G16" si="3">D8-D14</f>
        <v>321219.45526742842</v>
      </c>
      <c r="E16" s="12">
        <f t="shared" si="3"/>
        <v>512078.81039872754</v>
      </c>
      <c r="F16" s="12">
        <f t="shared" si="3"/>
        <v>781680.90834808047</v>
      </c>
      <c r="G16" s="12">
        <f t="shared" si="3"/>
        <v>1465564.7427957421</v>
      </c>
    </row>
    <row r="17" spans="1:7" x14ac:dyDescent="0.2">
      <c r="C17" s="1"/>
      <c r="D17" s="1"/>
      <c r="E17" s="1"/>
      <c r="F17" s="1"/>
      <c r="G17" s="1"/>
    </row>
    <row r="18" spans="1:7" x14ac:dyDescent="0.2">
      <c r="A18" s="20" t="str">
        <f>'Monthly Income Statement'!A18</f>
        <v>Marketing Costs</v>
      </c>
      <c r="C18" s="1"/>
      <c r="D18" s="1"/>
      <c r="E18" s="1"/>
      <c r="F18" s="1"/>
      <c r="G18" s="1"/>
    </row>
    <row r="19" spans="1:7" x14ac:dyDescent="0.2">
      <c r="B19" s="20" t="str">
        <f>'Monthly Income Statement'!B19</f>
        <v>CPC Spend</v>
      </c>
      <c r="C19" s="1">
        <f>SUM('Monthly Income Statement'!C19:N19)</f>
        <v>81206</v>
      </c>
      <c r="D19" s="1">
        <f>SUM('Monthly Income Statement'!O19:Z19)</f>
        <v>120000</v>
      </c>
      <c r="E19" s="1">
        <f>SUM('Monthly Income Statement'!AA19:AL19)</f>
        <v>120000</v>
      </c>
      <c r="F19" s="1">
        <f>SUM('Monthly Income Statement'!AM19:AX19)</f>
        <v>120000</v>
      </c>
      <c r="G19" s="1">
        <f>SUM('Monthly Income Statement'!AY19:BJ19)</f>
        <v>120000</v>
      </c>
    </row>
    <row r="20" spans="1:7" x14ac:dyDescent="0.2">
      <c r="B20" s="20" t="str">
        <f>'Monthly Income Statement'!B20</f>
        <v>Facebook Spend</v>
      </c>
      <c r="C20" s="1">
        <f>SUM('Monthly Income Statement'!C20:N20)</f>
        <v>81499</v>
      </c>
      <c r="D20" s="1">
        <f>SUM('Monthly Income Statement'!O20:Z20)</f>
        <v>120000</v>
      </c>
      <c r="E20" s="1">
        <f>SUM('Monthly Income Statement'!AA20:AL20)</f>
        <v>120000</v>
      </c>
      <c r="F20" s="1">
        <f>SUM('Monthly Income Statement'!AM20:AX20)</f>
        <v>120000</v>
      </c>
      <c r="G20" s="1">
        <f>SUM('Monthly Income Statement'!AY20:BJ20)</f>
        <v>120000</v>
      </c>
    </row>
    <row r="21" spans="1:7" s="3" customFormat="1" x14ac:dyDescent="0.2">
      <c r="A21" s="21" t="str">
        <f>'Monthly Income Statement'!A21</f>
        <v>Total Marketing Costs</v>
      </c>
      <c r="B21" s="21"/>
      <c r="C21" s="2">
        <f>SUM(C19:C20)</f>
        <v>162705</v>
      </c>
      <c r="D21" s="2">
        <f t="shared" ref="D21:G21" si="4">SUM(D19:D20)</f>
        <v>240000</v>
      </c>
      <c r="E21" s="2">
        <f t="shared" si="4"/>
        <v>240000</v>
      </c>
      <c r="F21" s="2">
        <f t="shared" si="4"/>
        <v>240000</v>
      </c>
      <c r="G21" s="2">
        <f t="shared" si="4"/>
        <v>240000</v>
      </c>
    </row>
    <row r="22" spans="1:7" x14ac:dyDescent="0.2">
      <c r="C22" s="1"/>
      <c r="D22" s="1"/>
      <c r="E22" s="1"/>
      <c r="F22" s="1"/>
      <c r="G22" s="1"/>
    </row>
    <row r="23" spans="1:7" s="3" customFormat="1" x14ac:dyDescent="0.2">
      <c r="A23" s="21" t="str">
        <f>'Monthly Income Statement'!A23</f>
        <v>Gross Profit - Sales and Marketing</v>
      </c>
      <c r="B23" s="21"/>
      <c r="C23" s="12">
        <f>C16-C21</f>
        <v>-65068.019398221863</v>
      </c>
      <c r="D23" s="12">
        <f t="shared" ref="D23:G23" si="5">D16-D21</f>
        <v>81219.45526742842</v>
      </c>
      <c r="E23" s="12">
        <f t="shared" si="5"/>
        <v>272078.81039872754</v>
      </c>
      <c r="F23" s="12">
        <f t="shared" si="5"/>
        <v>541680.90834808047</v>
      </c>
      <c r="G23" s="12">
        <f t="shared" si="5"/>
        <v>1225564.7427957421</v>
      </c>
    </row>
    <row r="24" spans="1:7" x14ac:dyDescent="0.2">
      <c r="C24" s="1"/>
      <c r="D24" s="1"/>
      <c r="E24" s="1"/>
      <c r="F24" s="1"/>
      <c r="G24" s="1"/>
    </row>
    <row r="25" spans="1:7" x14ac:dyDescent="0.2">
      <c r="A25" s="20" t="str">
        <f>'Monthly Income Statement'!A25</f>
        <v>Indirect Costs</v>
      </c>
      <c r="C25" s="1"/>
      <c r="D25" s="1"/>
      <c r="E25" s="1"/>
      <c r="F25" s="1"/>
      <c r="G25" s="1"/>
    </row>
    <row r="26" spans="1:7" x14ac:dyDescent="0.2">
      <c r="B26" s="20" t="str">
        <f>'Monthly Income Statement'!B26</f>
        <v>Salaries</v>
      </c>
      <c r="C26" s="1">
        <f>SUM('Monthly Income Statement'!C26:N26)</f>
        <v>675000.00000000023</v>
      </c>
      <c r="D26" s="1">
        <f>SUM('Monthly Income Statement'!O26:Z26)</f>
        <v>874999.99999999988</v>
      </c>
      <c r="E26" s="1">
        <f>SUM('Monthly Income Statement'!AA26:AL26)</f>
        <v>912499.99999999988</v>
      </c>
      <c r="F26" s="1">
        <f>SUM('Monthly Income Statement'!AM26:AX26)</f>
        <v>912499.99999999988</v>
      </c>
      <c r="G26" s="1">
        <f>SUM('Monthly Income Statement'!AY26:BJ26)</f>
        <v>937500.00000000023</v>
      </c>
    </row>
    <row r="27" spans="1:7" x14ac:dyDescent="0.2">
      <c r="B27" s="20" t="str">
        <f>'Monthly Income Statement'!B27</f>
        <v>Rent</v>
      </c>
      <c r="C27" s="1">
        <f>SUM('Monthly Income Statement'!C27:N27)</f>
        <v>38500</v>
      </c>
      <c r="D27" s="1">
        <f>SUM('Monthly Income Statement'!O27:Z27)</f>
        <v>49500</v>
      </c>
      <c r="E27" s="1">
        <f>SUM('Monthly Income Statement'!AA27:AL27)</f>
        <v>54000</v>
      </c>
      <c r="F27" s="1">
        <f>SUM('Monthly Income Statement'!AM27:AX27)</f>
        <v>54000</v>
      </c>
      <c r="G27" s="1">
        <f>SUM('Monthly Income Statement'!AY27:BJ27)</f>
        <v>57000</v>
      </c>
    </row>
    <row r="28" spans="1:7" x14ac:dyDescent="0.2">
      <c r="B28" s="20" t="str">
        <f>'Monthly Income Statement'!B28</f>
        <v>Technology</v>
      </c>
      <c r="C28" s="1">
        <f>SUM('Monthly Income Statement'!C28:N28)</f>
        <v>7700</v>
      </c>
      <c r="D28" s="1">
        <f>SUM('Monthly Income Statement'!O28:Z28)</f>
        <v>9900</v>
      </c>
      <c r="E28" s="1">
        <f>SUM('Monthly Income Statement'!AA28:AL28)</f>
        <v>10800</v>
      </c>
      <c r="F28" s="1">
        <f>SUM('Monthly Income Statement'!AM28:AX28)</f>
        <v>10800</v>
      </c>
      <c r="G28" s="1">
        <f>SUM('Monthly Income Statement'!AY28:BJ28)</f>
        <v>11400</v>
      </c>
    </row>
    <row r="29" spans="1:7" x14ac:dyDescent="0.2">
      <c r="B29" s="20" t="str">
        <f>'Monthly Income Statement'!B29</f>
        <v>Legal and Accounting</v>
      </c>
      <c r="C29" s="1">
        <f>SUM('Monthly Income Statement'!C29:N29)</f>
        <v>6000</v>
      </c>
      <c r="D29" s="1">
        <f>SUM('Monthly Income Statement'!O29:Z29)</f>
        <v>6000</v>
      </c>
      <c r="E29" s="1">
        <f>SUM('Monthly Income Statement'!AA29:AL29)</f>
        <v>6000</v>
      </c>
      <c r="F29" s="1">
        <f>SUM('Monthly Income Statement'!AM29:AX29)</f>
        <v>6000</v>
      </c>
      <c r="G29" s="1">
        <f>SUM('Monthly Income Statement'!AY29:BJ29)</f>
        <v>6000</v>
      </c>
    </row>
    <row r="30" spans="1:7" x14ac:dyDescent="0.2">
      <c r="B30" s="20" t="str">
        <f>'Monthly Income Statement'!B30</f>
        <v>Travel</v>
      </c>
      <c r="C30" s="1">
        <f>SUM('Monthly Income Statement'!C30:N30)</f>
        <v>19250</v>
      </c>
      <c r="D30" s="1">
        <f>SUM('Monthly Income Statement'!O30:Z30)</f>
        <v>24750</v>
      </c>
      <c r="E30" s="1">
        <f>SUM('Monthly Income Statement'!AA30:AL30)</f>
        <v>27000</v>
      </c>
      <c r="F30" s="1">
        <f>SUM('Monthly Income Statement'!AM30:AX30)</f>
        <v>27000</v>
      </c>
      <c r="G30" s="1">
        <f>SUM('Monthly Income Statement'!AY30:BJ30)</f>
        <v>28500</v>
      </c>
    </row>
    <row r="31" spans="1:7" x14ac:dyDescent="0.2">
      <c r="B31" s="20" t="str">
        <f>'Monthly Income Statement'!B31</f>
        <v>Training</v>
      </c>
      <c r="C31" s="1">
        <f>SUM('Monthly Income Statement'!C31:N31)</f>
        <v>7700</v>
      </c>
      <c r="D31" s="1">
        <f>SUM('Monthly Income Statement'!O31:Z31)</f>
        <v>9900</v>
      </c>
      <c r="E31" s="1">
        <f>SUM('Monthly Income Statement'!AA31:AL31)</f>
        <v>10800</v>
      </c>
      <c r="F31" s="1">
        <f>SUM('Monthly Income Statement'!AM31:AX31)</f>
        <v>10800</v>
      </c>
      <c r="G31" s="1">
        <f>SUM('Monthly Income Statement'!AY31:BJ31)</f>
        <v>11400</v>
      </c>
    </row>
    <row r="32" spans="1:7" x14ac:dyDescent="0.2">
      <c r="B32" s="20" t="str">
        <f>'Monthly Income Statement'!B32</f>
        <v>Recruiting</v>
      </c>
      <c r="C32" s="1">
        <f>SUM('Monthly Income Statement'!C32:N32)</f>
        <v>15000</v>
      </c>
      <c r="D32" s="1">
        <f>SUM('Monthly Income Statement'!O32:Z32)</f>
        <v>10000</v>
      </c>
      <c r="E32" s="1">
        <f>SUM('Monthly Income Statement'!AA32:AL32)</f>
        <v>0</v>
      </c>
      <c r="F32" s="1">
        <f>SUM('Monthly Income Statement'!AM32:AX32)</f>
        <v>0</v>
      </c>
      <c r="G32" s="1">
        <f>SUM('Monthly Income Statement'!AY32:BJ32)</f>
        <v>5000</v>
      </c>
    </row>
    <row r="33" spans="1:79" s="3" customFormat="1" x14ac:dyDescent="0.2">
      <c r="A33" s="21" t="str">
        <f>'Monthly Income Statement'!A33</f>
        <v>Total Indirect Costs</v>
      </c>
      <c r="B33" s="21"/>
      <c r="C33" s="2">
        <f>SUM(C26:C32)</f>
        <v>769150.00000000023</v>
      </c>
      <c r="D33" s="2">
        <f t="shared" ref="D33:G33" si="6">SUM(D26:D32)</f>
        <v>985049.99999999988</v>
      </c>
      <c r="E33" s="2">
        <f t="shared" si="6"/>
        <v>1021099.9999999999</v>
      </c>
      <c r="F33" s="2">
        <f t="shared" si="6"/>
        <v>1021099.9999999999</v>
      </c>
      <c r="G33" s="2">
        <f t="shared" si="6"/>
        <v>1056800.0000000002</v>
      </c>
    </row>
    <row r="34" spans="1:79" s="3" customFormat="1" x14ac:dyDescent="0.2">
      <c r="A34" s="21"/>
      <c r="B34" s="21"/>
      <c r="C34" s="2"/>
      <c r="D34" s="2"/>
      <c r="E34" s="2"/>
      <c r="F34" s="2"/>
      <c r="G34" s="2"/>
    </row>
    <row r="35" spans="1:79" s="25" customFormat="1" x14ac:dyDescent="0.2">
      <c r="B35" s="47" t="s">
        <v>71</v>
      </c>
      <c r="C35" s="48">
        <f>'Monthly Income Statement'!N38</f>
        <v>7</v>
      </c>
      <c r="D35" s="48">
        <f>'Monthly Income Statement'!Z38</f>
        <v>9</v>
      </c>
      <c r="E35" s="48">
        <f>'Monthly Income Statement'!AL38</f>
        <v>9</v>
      </c>
      <c r="F35" s="48">
        <f>'Monthly Income Statement'!AX38</f>
        <v>9</v>
      </c>
      <c r="G35" s="48">
        <f>'Monthly Income Statement'!BJ38</f>
        <v>10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1:79" s="3" customFormat="1" x14ac:dyDescent="0.2">
      <c r="A36" s="22" t="str">
        <f>'Monthly Income Statement'!A35</f>
        <v>EBITDA</v>
      </c>
      <c r="B36" s="22"/>
      <c r="C36" s="23">
        <f>C23-C33</f>
        <v>-834218.0193982221</v>
      </c>
      <c r="D36" s="23">
        <f t="shared" ref="D36:G36" si="7">D23-D33</f>
        <v>-903830.54473257146</v>
      </c>
      <c r="E36" s="23">
        <f t="shared" si="7"/>
        <v>-749021.18960127234</v>
      </c>
      <c r="F36" s="23">
        <f t="shared" si="7"/>
        <v>-479419.09165191941</v>
      </c>
      <c r="G36" s="23">
        <f t="shared" si="7"/>
        <v>168764.74279574188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</row>
    <row r="37" spans="1:79" x14ac:dyDescent="0.2"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</row>
    <row r="38" spans="1:79" s="25" customFormat="1" x14ac:dyDescent="0.2">
      <c r="A38" s="36"/>
      <c r="B38" s="37"/>
      <c r="C38" s="38"/>
      <c r="D38" s="38"/>
      <c r="E38" s="38"/>
      <c r="F38" s="38"/>
      <c r="G38" s="38"/>
    </row>
    <row r="39" spans="1:79" s="25" customFormat="1" x14ac:dyDescent="0.2">
      <c r="A39" s="36"/>
      <c r="B39" s="36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</row>
    <row r="40" spans="1:79" s="25" customFormat="1" x14ac:dyDescent="0.2">
      <c r="A40" s="36"/>
      <c r="B40" s="37"/>
      <c r="C40" s="38"/>
      <c r="D40" s="38"/>
      <c r="E40" s="38"/>
      <c r="F40" s="38"/>
      <c r="G40" s="38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</row>
  </sheetData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A2" sqref="A2:XFD2"/>
    </sheetView>
    <sheetView zoomScale="220" zoomScaleNormal="220" zoomScalePageLayoutView="200" workbookViewId="1">
      <selection activeCell="C2" sqref="C2"/>
    </sheetView>
  </sheetViews>
  <sheetFormatPr baseColWidth="10" defaultRowHeight="16" x14ac:dyDescent="0.2"/>
  <cols>
    <col min="1" max="1" width="24.83203125" bestFit="1" customWidth="1"/>
    <col min="2" max="2" width="5.1640625" customWidth="1"/>
    <col min="3" max="3" width="14.5" bestFit="1" customWidth="1"/>
    <col min="4" max="6" width="12.6640625" bestFit="1" customWidth="1"/>
    <col min="7" max="7" width="14.33203125" bestFit="1" customWidth="1"/>
  </cols>
  <sheetData>
    <row r="1" spans="1:7" s="1" customFormat="1" x14ac:dyDescent="0.2">
      <c r="A1" s="1" t="s">
        <v>2</v>
      </c>
      <c r="C1" s="1" t="s">
        <v>92</v>
      </c>
    </row>
    <row r="2" spans="1:7" s="1" customFormat="1" x14ac:dyDescent="0.2">
      <c r="C2" s="62">
        <f>'Annual Income Statement'!C2</f>
        <v>2021</v>
      </c>
      <c r="D2" s="62">
        <f>'Annual Income Statement'!D2</f>
        <v>2022</v>
      </c>
      <c r="E2" s="62">
        <f>'Annual Income Statement'!E2</f>
        <v>2023</v>
      </c>
      <c r="F2" s="62">
        <f>'Annual Income Statement'!F2</f>
        <v>2024</v>
      </c>
      <c r="G2" s="62">
        <f>'Annual Income Statement'!G2</f>
        <v>2025</v>
      </c>
    </row>
    <row r="3" spans="1:7" x14ac:dyDescent="0.2">
      <c r="A3" t="str">
        <f>'Monthly Balance Sheet'!A3</f>
        <v>Assets:</v>
      </c>
      <c r="C3" s="1"/>
    </row>
    <row r="4" spans="1:7" x14ac:dyDescent="0.2">
      <c r="A4" s="26" t="str">
        <f>'Monthly Balance Sheet'!A4</f>
        <v>Cash</v>
      </c>
      <c r="C4" s="1">
        <f>'Monthly Balance Sheet'!N4</f>
        <v>159382.60161276936</v>
      </c>
      <c r="D4" s="1">
        <f>'Monthly Balance Sheet'!Z4</f>
        <v>1737182.1864295746</v>
      </c>
      <c r="E4" s="1">
        <f>'Monthly Balance Sheet'!AL4</f>
        <v>967606.3040748504</v>
      </c>
      <c r="F4" s="1">
        <f>'Monthly Balance Sheet'!AX4</f>
        <v>449441.84555348667</v>
      </c>
      <c r="G4" s="1">
        <f>'Monthly Balance Sheet'!BJ4</f>
        <v>508209.55627352936</v>
      </c>
    </row>
    <row r="5" spans="1:7" x14ac:dyDescent="0.2">
      <c r="A5" s="26" t="str">
        <f>'Monthly Balance Sheet'!A5</f>
        <v>Accounts Receivable</v>
      </c>
      <c r="C5" s="1">
        <f>'Monthly Balance Sheet'!N5</f>
        <v>55234.763611543654</v>
      </c>
      <c r="D5" s="1">
        <f>'Monthly Balance Sheet'!Z5</f>
        <v>102575.07430335179</v>
      </c>
      <c r="E5" s="1">
        <f>'Monthly Balance Sheet'!AL5</f>
        <v>151070.20320180402</v>
      </c>
      <c r="F5" s="1">
        <f>'Monthly Balance Sheet'!AX5</f>
        <v>244857.67547321055</v>
      </c>
      <c r="G5" s="1">
        <f>'Monthly Balance Sheet'!BJ5</f>
        <v>520952.84957641811</v>
      </c>
    </row>
    <row r="6" spans="1:7" x14ac:dyDescent="0.2">
      <c r="A6" s="26" t="str">
        <f>'Monthly Balance Sheet'!A6</f>
        <v>Inventory</v>
      </c>
      <c r="C6" s="1">
        <f>'Monthly Balance Sheet'!N6</f>
        <v>41426.072708657739</v>
      </c>
      <c r="D6" s="1">
        <f>'Monthly Balance Sheet'!Z6</f>
        <v>76931.305727513842</v>
      </c>
      <c r="E6" s="1">
        <f>'Monthly Balance Sheet'!AL6</f>
        <v>113302.65240135301</v>
      </c>
      <c r="F6" s="1">
        <f>'Monthly Balance Sheet'!AX6</f>
        <v>183643.25660490792</v>
      </c>
      <c r="G6" s="1">
        <f>'Monthly Balance Sheet'!BJ6</f>
        <v>390714.6371823136</v>
      </c>
    </row>
    <row r="7" spans="1:7" x14ac:dyDescent="0.2">
      <c r="A7" s="26" t="str">
        <f>'Monthly Balance Sheet'!A7</f>
        <v>Fixed Assets</v>
      </c>
      <c r="C7" s="1"/>
      <c r="D7" s="1"/>
      <c r="E7" s="1"/>
      <c r="F7" s="1"/>
      <c r="G7" s="1"/>
    </row>
    <row r="8" spans="1:7" x14ac:dyDescent="0.2">
      <c r="A8" s="26" t="str">
        <f>'Monthly Balance Sheet'!A8</f>
        <v>Accumulated Depreciation</v>
      </c>
      <c r="C8" s="1"/>
      <c r="D8" s="1"/>
      <c r="E8" s="1"/>
      <c r="F8" s="1"/>
      <c r="G8" s="1"/>
    </row>
    <row r="9" spans="1:7" s="12" customFormat="1" x14ac:dyDescent="0.2">
      <c r="A9" s="33" t="str">
        <f>'Monthly Balance Sheet'!A9</f>
        <v>Total Assets</v>
      </c>
      <c r="B9" s="23"/>
      <c r="C9" s="23">
        <f>'Monthly Balance Sheet'!N9</f>
        <v>256043.43793297076</v>
      </c>
      <c r="D9" s="23">
        <f>'Monthly Balance Sheet'!Z9</f>
        <v>1916688.5664604402</v>
      </c>
      <c r="E9" s="23">
        <f>'Monthly Balance Sheet'!AL9</f>
        <v>1231979.1596780075</v>
      </c>
      <c r="F9" s="23">
        <f>'Monthly Balance Sheet'!AX9</f>
        <v>877942.77763160516</v>
      </c>
      <c r="G9" s="23">
        <f>'Monthly Balance Sheet'!BJ9</f>
        <v>1419877.0430322611</v>
      </c>
    </row>
    <row r="10" spans="1:7" x14ac:dyDescent="0.2">
      <c r="C10" s="1"/>
      <c r="D10" s="1"/>
      <c r="E10" s="1"/>
      <c r="F10" s="1"/>
      <c r="G10" s="1"/>
    </row>
    <row r="11" spans="1:7" x14ac:dyDescent="0.2">
      <c r="A11" t="str">
        <f>'Monthly Balance Sheet'!A11</f>
        <v>Liabilities</v>
      </c>
      <c r="C11" s="1"/>
      <c r="D11" s="1"/>
      <c r="E11" s="1"/>
      <c r="F11" s="1"/>
      <c r="G11" s="1"/>
    </row>
    <row r="12" spans="1:7" x14ac:dyDescent="0.2">
      <c r="A12" s="26" t="str">
        <f>'Monthly Balance Sheet'!A12</f>
        <v>Accounts Payable</v>
      </c>
      <c r="C12" s="1">
        <f>'Monthly Balance Sheet'!N12</f>
        <v>90261.457331192665</v>
      </c>
      <c r="D12" s="1">
        <f>'Monthly Balance Sheet'!Z12</f>
        <v>154737.13059123335</v>
      </c>
      <c r="E12" s="1">
        <f>'Monthly Balance Sheet'!AL12</f>
        <v>219048.91341007323</v>
      </c>
      <c r="F12" s="1">
        <f>'Monthly Balance Sheet'!AX12</f>
        <v>344431.62301559141</v>
      </c>
      <c r="G12" s="1">
        <f>'Monthly Balance Sheet'!BJ12</f>
        <v>717601.14562050486</v>
      </c>
    </row>
    <row r="13" spans="1:7" x14ac:dyDescent="0.2">
      <c r="A13" s="26" t="str">
        <f>'Monthly Balance Sheet'!A13</f>
        <v>Short Term Debt</v>
      </c>
      <c r="C13" s="1"/>
      <c r="D13" s="1"/>
      <c r="E13" s="1"/>
      <c r="F13" s="1"/>
      <c r="G13" s="1"/>
    </row>
    <row r="14" spans="1:7" x14ac:dyDescent="0.2">
      <c r="A14" s="26" t="str">
        <f>'Monthly Balance Sheet'!A14</f>
        <v>Long Term Debt</v>
      </c>
      <c r="C14" s="1"/>
      <c r="D14" s="1"/>
      <c r="E14" s="1"/>
      <c r="F14" s="1"/>
      <c r="G14" s="1"/>
    </row>
    <row r="15" spans="1:7" s="3" customFormat="1" x14ac:dyDescent="0.2">
      <c r="A15" s="31" t="str">
        <f>'Monthly Balance Sheet'!A15</f>
        <v>Total Liabilities</v>
      </c>
      <c r="C15" s="2">
        <f>'Monthly Balance Sheet'!N15</f>
        <v>90261.457331192665</v>
      </c>
      <c r="D15" s="2">
        <f>'Monthly Balance Sheet'!Z15</f>
        <v>154737.13059123335</v>
      </c>
      <c r="E15" s="2">
        <f>'Monthly Balance Sheet'!AL15</f>
        <v>219048.91341007323</v>
      </c>
      <c r="F15" s="2">
        <f>'Monthly Balance Sheet'!AX15</f>
        <v>344431.62301559141</v>
      </c>
      <c r="G15" s="2">
        <f>'Monthly Balance Sheet'!BJ15</f>
        <v>717601.14562050486</v>
      </c>
    </row>
    <row r="16" spans="1:7" x14ac:dyDescent="0.2">
      <c r="C16" s="1"/>
      <c r="D16" s="1"/>
      <c r="E16" s="1"/>
      <c r="F16" s="1"/>
      <c r="G16" s="1"/>
    </row>
    <row r="17" spans="1:7" x14ac:dyDescent="0.2">
      <c r="A17" t="str">
        <f>'Monthly Balance Sheet'!A17</f>
        <v>Owners Equity</v>
      </c>
      <c r="C17" s="1"/>
      <c r="D17" s="1"/>
      <c r="E17" s="1"/>
      <c r="F17" s="1"/>
      <c r="G17" s="1"/>
    </row>
    <row r="18" spans="1:7" x14ac:dyDescent="0.2">
      <c r="A18" s="26" t="str">
        <f>'Monthly Balance Sheet'!A18</f>
        <v>Capital Stock</v>
      </c>
      <c r="C18" s="1">
        <f>'Monthly Balance Sheet'!N18</f>
        <v>1000000</v>
      </c>
      <c r="D18" s="1">
        <f>'Monthly Balance Sheet'!Z18</f>
        <v>3500000</v>
      </c>
      <c r="E18" s="1">
        <f>'Monthly Balance Sheet'!AL18</f>
        <v>3500000</v>
      </c>
      <c r="F18" s="1">
        <f>'Monthly Balance Sheet'!AX18</f>
        <v>3500000</v>
      </c>
      <c r="G18" s="1">
        <f>'Monthly Balance Sheet'!BJ18</f>
        <v>3500000</v>
      </c>
    </row>
    <row r="19" spans="1:7" x14ac:dyDescent="0.2">
      <c r="A19" s="26" t="str">
        <f>'Monthly Balance Sheet'!A19</f>
        <v>Retained Earnings</v>
      </c>
      <c r="C19" s="1">
        <f>'Monthly Balance Sheet'!N19</f>
        <v>-834218.01939822198</v>
      </c>
      <c r="D19" s="1">
        <f>'Monthly Balance Sheet'!Z19</f>
        <v>-1738048.5641307936</v>
      </c>
      <c r="E19" s="1">
        <f>'Monthly Balance Sheet'!AL19</f>
        <v>-2487069.7537320661</v>
      </c>
      <c r="F19" s="1">
        <f>'Monthly Balance Sheet'!AX19</f>
        <v>-2966488.8453839854</v>
      </c>
      <c r="G19" s="1">
        <f>'Monthly Balance Sheet'!BJ19</f>
        <v>-2797724.1025882429</v>
      </c>
    </row>
    <row r="20" spans="1:7" s="3" customFormat="1" x14ac:dyDescent="0.2">
      <c r="A20" s="31" t="str">
        <f>'Monthly Balance Sheet'!A20</f>
        <v>Total Equity</v>
      </c>
      <c r="C20" s="2">
        <f>'Monthly Balance Sheet'!N20</f>
        <v>165781.98060177802</v>
      </c>
      <c r="D20" s="2">
        <f>'Monthly Balance Sheet'!Z20</f>
        <v>1761951.4358692064</v>
      </c>
      <c r="E20" s="2">
        <f>'Monthly Balance Sheet'!AL20</f>
        <v>1012930.2462679339</v>
      </c>
      <c r="F20" s="2">
        <f>'Monthly Balance Sheet'!AX20</f>
        <v>533511.15461601457</v>
      </c>
      <c r="G20" s="2">
        <f>'Monthly Balance Sheet'!BJ20</f>
        <v>702275.89741175715</v>
      </c>
    </row>
    <row r="21" spans="1:7" x14ac:dyDescent="0.2">
      <c r="C21" s="1"/>
      <c r="D21" s="1"/>
      <c r="E21" s="1"/>
      <c r="F21" s="1"/>
      <c r="G21" s="1"/>
    </row>
    <row r="22" spans="1:7" s="12" customFormat="1" x14ac:dyDescent="0.2">
      <c r="A22" s="23" t="str">
        <f>'Monthly Balance Sheet'!A22</f>
        <v>Total Liabilities &amp; Equity</v>
      </c>
      <c r="B22" s="23"/>
      <c r="C22" s="23">
        <f>'Monthly Balance Sheet'!N22</f>
        <v>256043.4379329707</v>
      </c>
      <c r="D22" s="23">
        <f>'Monthly Balance Sheet'!Z22</f>
        <v>1916688.5664604397</v>
      </c>
      <c r="E22" s="23">
        <f>'Monthly Balance Sheet'!AL22</f>
        <v>1231979.159678007</v>
      </c>
      <c r="F22" s="23">
        <f>'Monthly Balance Sheet'!AX22</f>
        <v>877942.77763160598</v>
      </c>
      <c r="G22" s="23">
        <f>'Monthly Balance Sheet'!BJ22</f>
        <v>1419877.043032262</v>
      </c>
    </row>
    <row r="23" spans="1:7" x14ac:dyDescent="0.2">
      <c r="C23" s="1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workbookViewId="0">
      <selection activeCell="H30" sqref="H30"/>
    </sheetView>
    <sheetView tabSelected="1" zoomScale="220" zoomScaleNormal="220" zoomScalePageLayoutView="190" workbookViewId="1">
      <selection activeCell="G27" sqref="G27"/>
    </sheetView>
  </sheetViews>
  <sheetFormatPr baseColWidth="10" defaultRowHeight="16" x14ac:dyDescent="0.2"/>
  <cols>
    <col min="1" max="1" width="2.6640625" customWidth="1"/>
    <col min="2" max="2" width="31.1640625" customWidth="1"/>
    <col min="3" max="7" width="16" customWidth="1"/>
  </cols>
  <sheetData>
    <row r="1" spans="1:8" s="1" customFormat="1" x14ac:dyDescent="0.2">
      <c r="A1" s="1" t="s">
        <v>138</v>
      </c>
      <c r="C1" s="1" t="s">
        <v>92</v>
      </c>
    </row>
    <row r="2" spans="1:8" s="1" customFormat="1" x14ac:dyDescent="0.2">
      <c r="C2" s="62">
        <f>'Annual Income Statement'!C2</f>
        <v>2021</v>
      </c>
      <c r="D2" s="62">
        <f>'Annual Income Statement'!D2</f>
        <v>2022</v>
      </c>
      <c r="E2" s="62">
        <f>'Annual Income Statement'!E2</f>
        <v>2023</v>
      </c>
      <c r="F2" s="62">
        <f>'Annual Income Statement'!F2</f>
        <v>2024</v>
      </c>
      <c r="G2" s="62">
        <f>'Annual Income Statement'!G2</f>
        <v>2025</v>
      </c>
    </row>
    <row r="3" spans="1:8" x14ac:dyDescent="0.2">
      <c r="B3" t="str">
        <f>'Monthly Cash Flow'!B3</f>
        <v>Beginning Cash Balance</v>
      </c>
      <c r="C3" s="41">
        <f>'Monthly Cash Flow'!C3</f>
        <v>0</v>
      </c>
      <c r="D3" s="41">
        <f>'Monthly Cash Flow'!O3</f>
        <v>159382.60161276936</v>
      </c>
      <c r="E3" s="41">
        <f>'Monthly Cash Flow'!AA3</f>
        <v>1737182.1864295746</v>
      </c>
      <c r="F3" s="41">
        <f>'Monthly Cash Flow'!AM3</f>
        <v>967606.3040748504</v>
      </c>
      <c r="G3" s="41">
        <f>'Monthly Cash Flow'!AY3</f>
        <v>449441.84555348667</v>
      </c>
      <c r="H3" s="1"/>
    </row>
    <row r="4" spans="1:8" x14ac:dyDescent="0.2">
      <c r="C4" s="1"/>
      <c r="D4" s="1"/>
      <c r="E4" s="1"/>
      <c r="F4" s="1"/>
      <c r="G4" s="1"/>
      <c r="H4" s="1"/>
    </row>
    <row r="5" spans="1:8" x14ac:dyDescent="0.2">
      <c r="B5" s="26" t="str">
        <f>'Monthly Cash Flow'!B5</f>
        <v>Cash Receipts:</v>
      </c>
      <c r="C5" s="1"/>
      <c r="D5" s="1"/>
      <c r="E5" s="1"/>
      <c r="F5" s="1"/>
      <c r="G5" s="1"/>
      <c r="H5" s="1"/>
    </row>
    <row r="6" spans="1:8" x14ac:dyDescent="0.2">
      <c r="B6" s="27" t="str">
        <f>'Monthly Cash Flow'!B6</f>
        <v>Gross Sales</v>
      </c>
      <c r="C6" s="1">
        <f>SUM('Monthly Cash Flow'!C6:N6)</f>
        <v>329879.29748925427</v>
      </c>
      <c r="D6" s="1">
        <f>SUM('Monthly Cash Flow'!O6:Z6)</f>
        <v>979702.78391589201</v>
      </c>
      <c r="E6" s="1">
        <f>SUM('Monthly Cash Flow'!AA6:AL6)</f>
        <v>1529827.3491850949</v>
      </c>
      <c r="F6" s="1">
        <f>SUM('Monthly Cash Flow'!AM6:AX6)</f>
        <v>2337994.2564069601</v>
      </c>
      <c r="G6" s="1">
        <f>SUM('Monthly Cash Flow'!AY6:BJ6)</f>
        <v>4416651.7554476922</v>
      </c>
      <c r="H6" s="1"/>
    </row>
    <row r="7" spans="1:8" x14ac:dyDescent="0.2">
      <c r="B7" s="27" t="str">
        <f>'Monthly Cash Flow'!B7</f>
        <v xml:space="preserve">Change in A/R </v>
      </c>
      <c r="C7" s="1">
        <f>0-'Monthly Balance Sheet'!N5</f>
        <v>-55234.763611543654</v>
      </c>
      <c r="D7" s="1">
        <f>'Monthly Balance Sheet'!N5-'Monthly Balance Sheet'!Z5</f>
        <v>-47340.310691808139</v>
      </c>
      <c r="E7" s="1">
        <f>'Monthly Balance Sheet'!Z5-'Monthly Balance Sheet'!AL5</f>
        <v>-48495.128898452225</v>
      </c>
      <c r="F7" s="1">
        <f>'Monthly Balance Sheet'!AL5-'Monthly Balance Sheet'!AX5</f>
        <v>-93787.472271406528</v>
      </c>
      <c r="G7" s="1">
        <f>'Monthly Balance Sheet'!AX5-'Monthly Balance Sheet'!BJ5</f>
        <v>-276095.17410320754</v>
      </c>
      <c r="H7" s="1"/>
    </row>
    <row r="8" spans="1:8" x14ac:dyDescent="0.2">
      <c r="B8" s="27"/>
      <c r="C8" s="1"/>
      <c r="D8" s="1"/>
      <c r="E8" s="1"/>
      <c r="F8" s="1"/>
      <c r="G8" s="1"/>
      <c r="H8" s="1"/>
    </row>
    <row r="9" spans="1:8" s="12" customFormat="1" x14ac:dyDescent="0.2">
      <c r="B9" s="39" t="str">
        <f>'Monthly Cash Flow'!B9</f>
        <v>Total Receipts</v>
      </c>
      <c r="C9" s="12">
        <f>SUM(C5:C8)</f>
        <v>274644.53387771064</v>
      </c>
      <c r="D9" s="12">
        <f>SUM(D5:D8)</f>
        <v>932362.47322408389</v>
      </c>
      <c r="E9" s="12">
        <f>SUM(E5:E8)</f>
        <v>1481332.2202866427</v>
      </c>
      <c r="F9" s="12">
        <f>SUM(F5:F8)</f>
        <v>2244206.7841355535</v>
      </c>
      <c r="G9" s="12">
        <f>SUM(G5:G8)</f>
        <v>4140556.5813444848</v>
      </c>
    </row>
    <row r="10" spans="1:8" x14ac:dyDescent="0.2">
      <c r="C10" s="1"/>
      <c r="D10" s="1"/>
      <c r="E10" s="1"/>
      <c r="F10" s="1"/>
      <c r="G10" s="1"/>
      <c r="H10" s="1"/>
    </row>
    <row r="11" spans="1:8" x14ac:dyDescent="0.2">
      <c r="B11" t="str">
        <f>'Monthly Cash Flow'!B11</f>
        <v>Disbursements:</v>
      </c>
      <c r="C11" s="1"/>
      <c r="D11" s="1"/>
      <c r="E11" s="1"/>
      <c r="F11" s="1"/>
      <c r="G11" s="1"/>
      <c r="H11" s="1"/>
    </row>
    <row r="12" spans="1:8" x14ac:dyDescent="0.2">
      <c r="B12" s="26" t="str">
        <f>'Monthly Cash Flow'!B12</f>
        <v>Gross Expenses</v>
      </c>
      <c r="C12" s="1">
        <f>SUM('Monthly Cash Flow'!C12:N12)</f>
        <v>-1164097.3168874765</v>
      </c>
      <c r="D12" s="1">
        <f>SUM('Monthly Cash Flow'!O12:Z12)</f>
        <v>-1883533.3286484636</v>
      </c>
      <c r="E12" s="1">
        <f>SUM('Monthly Cash Flow'!AA12:AL12)</f>
        <v>-2278848.538786367</v>
      </c>
      <c r="F12" s="1">
        <f>SUM('Monthly Cash Flow'!AM12:AX12)</f>
        <v>-2817413.3480588808</v>
      </c>
      <c r="G12" s="1">
        <f>SUM('Monthly Cash Flow'!AY12:BJ12)</f>
        <v>-4247887.0126519501</v>
      </c>
      <c r="H12" s="1"/>
    </row>
    <row r="13" spans="1:8" x14ac:dyDescent="0.2">
      <c r="B13" s="26" t="str">
        <f>'Monthly Cash Flow'!B13</f>
        <v xml:space="preserve">Change in A/P </v>
      </c>
      <c r="C13" s="1">
        <f>'Monthly Balance Sheet'!N12-0</f>
        <v>90261.457331192665</v>
      </c>
      <c r="D13" s="1">
        <f>'Monthly Balance Sheet'!Z12-'Monthly Balance Sheet'!N12</f>
        <v>64475.673260040683</v>
      </c>
      <c r="E13" s="1">
        <f>'Monthly Balance Sheet'!AL12-'Monthly Balance Sheet'!Z12</f>
        <v>64311.782818839885</v>
      </c>
      <c r="F13" s="1">
        <f>'Monthly Balance Sheet'!AX12-'Monthly Balance Sheet'!AL12</f>
        <v>125382.70960551818</v>
      </c>
      <c r="G13" s="1">
        <f>'Monthly Balance Sheet'!BJ12-'Monthly Balance Sheet'!AX12</f>
        <v>373169.52260491345</v>
      </c>
      <c r="H13" s="1"/>
    </row>
    <row r="14" spans="1:8" x14ac:dyDescent="0.2">
      <c r="B14" s="26" t="str">
        <f>'Monthly Cash Flow'!B14</f>
        <v>Change in Inventory Value</v>
      </c>
      <c r="C14" s="1">
        <f>0-'Monthly Balance Sheet'!N6</f>
        <v>-41426.072708657739</v>
      </c>
      <c r="D14" s="1">
        <f>'Monthly Balance Sheet'!N6-'Monthly Balance Sheet'!Z6</f>
        <v>-35505.233018856103</v>
      </c>
      <c r="E14" s="1">
        <f>'Monthly Balance Sheet'!Z6-'Monthly Balance Sheet'!AL6</f>
        <v>-36371.346673839173</v>
      </c>
      <c r="F14" s="1">
        <f>'Monthly Balance Sheet'!AL6-'Monthly Balance Sheet'!AX6</f>
        <v>-70340.604203554904</v>
      </c>
      <c r="G14" s="1">
        <f>'Monthly Balance Sheet'!AX6-'Monthly Balance Sheet'!BJ6</f>
        <v>-207071.38057740568</v>
      </c>
      <c r="H14" s="1"/>
    </row>
    <row r="15" spans="1:8" x14ac:dyDescent="0.2">
      <c r="B15" s="26" t="str">
        <f>'Monthly Cash Flow'!B15</f>
        <v>Amortization &amp; Depreciation</v>
      </c>
      <c r="C15" s="1"/>
      <c r="D15" s="1"/>
      <c r="E15" s="1"/>
      <c r="F15" s="1"/>
      <c r="G15" s="1"/>
      <c r="H15" s="1"/>
    </row>
    <row r="16" spans="1:8" x14ac:dyDescent="0.2">
      <c r="B16" s="26" t="str">
        <f>'Monthly Cash Flow'!B16</f>
        <v>Capital Expenditures</v>
      </c>
      <c r="C16" s="1"/>
      <c r="D16" s="1"/>
      <c r="E16" s="1"/>
      <c r="F16" s="1"/>
      <c r="G16" s="1"/>
      <c r="H16" s="1"/>
    </row>
    <row r="17" spans="2:8" x14ac:dyDescent="0.2">
      <c r="B17" s="26" t="str">
        <f>'Monthly Cash Flow'!B17</f>
        <v>Income Tax Paid</v>
      </c>
      <c r="C17" s="1"/>
      <c r="D17" s="1"/>
      <c r="E17" s="1"/>
      <c r="F17" s="1"/>
      <c r="G17" s="1"/>
      <c r="H17" s="1"/>
    </row>
    <row r="18" spans="2:8" s="12" customFormat="1" x14ac:dyDescent="0.2">
      <c r="B18" s="32" t="str">
        <f>'Monthly Cash Flow'!B18</f>
        <v>Total Disbursements</v>
      </c>
      <c r="C18" s="12">
        <f>SUM(C11:C17)</f>
        <v>-1115261.9322649415</v>
      </c>
      <c r="D18" s="12">
        <f>SUM(D11:D17)</f>
        <v>-1854562.888407279</v>
      </c>
      <c r="E18" s="12">
        <f>SUM(E11:E17)</f>
        <v>-2250908.1026413664</v>
      </c>
      <c r="F18" s="12">
        <f>SUM(F11:F17)</f>
        <v>-2762371.2426569173</v>
      </c>
      <c r="G18" s="12">
        <f>SUM(G11:G17)</f>
        <v>-4081788.8706244426</v>
      </c>
    </row>
    <row r="19" spans="2:8" x14ac:dyDescent="0.2">
      <c r="C19" s="1"/>
      <c r="D19" s="1"/>
      <c r="E19" s="1"/>
      <c r="F19" s="1"/>
      <c r="G19" s="1"/>
      <c r="H19" s="1"/>
    </row>
    <row r="20" spans="2:8" x14ac:dyDescent="0.2">
      <c r="B20" t="str">
        <f>'Monthly Cash Flow'!B20</f>
        <v>Net Cash Flow from Operations</v>
      </c>
      <c r="C20" s="1"/>
      <c r="D20" s="1"/>
      <c r="E20" s="1"/>
      <c r="F20" s="1"/>
      <c r="G20" s="1"/>
      <c r="H20" s="1"/>
    </row>
    <row r="21" spans="2:8" x14ac:dyDescent="0.2">
      <c r="C21" s="1"/>
      <c r="D21" s="1"/>
      <c r="E21" s="1"/>
      <c r="F21" s="1"/>
      <c r="G21" s="1"/>
      <c r="H21" s="1"/>
    </row>
    <row r="22" spans="2:8" x14ac:dyDescent="0.2">
      <c r="B22" s="26" t="str">
        <f>'Monthly Cash Flow'!B22</f>
        <v>Equity Financing</v>
      </c>
      <c r="C22" s="1">
        <f>SUM('Monthly Cash Flow'!C22:N22)</f>
        <v>1000000</v>
      </c>
      <c r="D22" s="1">
        <f>SUM('Monthly Cash Flow'!O22:Z22)</f>
        <v>2500000</v>
      </c>
      <c r="E22" s="1">
        <f>SUM('Monthly Cash Flow'!AA22:AL22)</f>
        <v>0</v>
      </c>
      <c r="F22" s="1">
        <f>SUM('Monthly Cash Flow'!AM22:AX22)</f>
        <v>0</v>
      </c>
      <c r="G22" s="1">
        <f>SUM('Monthly Cash Flow'!AY22:BJ22)</f>
        <v>0</v>
      </c>
      <c r="H22" s="1"/>
    </row>
    <row r="23" spans="2:8" x14ac:dyDescent="0.2">
      <c r="B23" s="26" t="str">
        <f>'Monthly Cash Flow'!B23</f>
        <v>Interest Income</v>
      </c>
      <c r="C23" s="1"/>
      <c r="D23" s="1"/>
      <c r="E23" s="1"/>
      <c r="F23" s="1"/>
      <c r="G23" s="1"/>
      <c r="H23" s="1"/>
    </row>
    <row r="24" spans="2:8" hidden="1" x14ac:dyDescent="0.2">
      <c r="B24" s="26" t="str">
        <f>'Monthly Cash Flow'!B24</f>
        <v>Short Term borrowing</v>
      </c>
      <c r="C24" s="1"/>
      <c r="D24" s="1"/>
      <c r="E24" s="1"/>
      <c r="F24" s="1"/>
      <c r="G24" s="1"/>
      <c r="H24" s="1"/>
    </row>
    <row r="25" spans="2:8" hidden="1" x14ac:dyDescent="0.2">
      <c r="B25" s="26" t="str">
        <f>'Monthly Cash Flow'!B25</f>
        <v>Short Term repayments</v>
      </c>
      <c r="C25" s="1"/>
      <c r="D25" s="1"/>
      <c r="E25" s="1"/>
      <c r="F25" s="1"/>
      <c r="G25" s="1"/>
      <c r="H25" s="1"/>
    </row>
    <row r="26" spans="2:8" x14ac:dyDescent="0.2">
      <c r="B26" s="26"/>
      <c r="C26" s="1"/>
      <c r="D26" s="1"/>
      <c r="E26" s="1"/>
      <c r="F26" s="1"/>
      <c r="G26" s="1"/>
      <c r="H26" s="1"/>
    </row>
    <row r="27" spans="2:8" s="12" customFormat="1" x14ac:dyDescent="0.2">
      <c r="B27" s="23" t="str">
        <f>'Monthly Cash Flow'!B27</f>
        <v>Ending Cash Balance</v>
      </c>
      <c r="C27" s="23">
        <f>'Monthly Cash Flow'!N27</f>
        <v>159382.60161276936</v>
      </c>
      <c r="D27" s="23">
        <f>'Monthly Cash Flow'!Z27</f>
        <v>1737182.1864295746</v>
      </c>
      <c r="E27" s="23">
        <f>'Monthly Cash Flow'!AL27</f>
        <v>967606.3040748504</v>
      </c>
      <c r="F27" s="23">
        <f>'Monthly Cash Flow'!AX27</f>
        <v>449441.84555348667</v>
      </c>
      <c r="G27" s="23">
        <f>'Monthly Cash Flow'!BJ27</f>
        <v>508209.55627352936</v>
      </c>
    </row>
    <row r="28" spans="2:8" x14ac:dyDescent="0.2">
      <c r="H28" s="1"/>
    </row>
    <row r="29" spans="2:8" x14ac:dyDescent="0.2">
      <c r="B29" s="40" t="s">
        <v>140</v>
      </c>
      <c r="C29" s="42">
        <f>MIN('Monthly Cash Flow'!C27:N27)</f>
        <v>159382.60161276936</v>
      </c>
      <c r="D29" s="42">
        <f>MIN('Monthly Cash Flow'!O27:Z27)</f>
        <v>1737182.1864295746</v>
      </c>
      <c r="E29" s="42">
        <f>MIN('Monthly Cash Flow'!AA27:AL27)</f>
        <v>967606.3040748504</v>
      </c>
      <c r="F29" s="42">
        <f>MIN('Monthly Cash Flow'!AM27:AX27)</f>
        <v>449441.84555348667</v>
      </c>
      <c r="G29" s="42">
        <f>MIN('Monthly Cash Flow'!AY27:BJ27)</f>
        <v>372769.2829138806</v>
      </c>
      <c r="H29" s="1"/>
    </row>
    <row r="30" spans="2:8" x14ac:dyDescent="0.2">
      <c r="C30" s="1"/>
      <c r="D30" s="1"/>
      <c r="E30" s="1"/>
      <c r="F30" s="1"/>
      <c r="G30" s="1"/>
      <c r="H30" s="1"/>
    </row>
    <row r="31" spans="2:8" x14ac:dyDescent="0.2">
      <c r="C31" s="1"/>
      <c r="D31" s="1"/>
      <c r="E31" s="1"/>
      <c r="F31" s="1"/>
      <c r="G31" s="1"/>
      <c r="H31" s="1"/>
    </row>
  </sheetData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J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8" sqref="H8"/>
    </sheetView>
    <sheetView zoomScale="220" zoomScaleNormal="220" zoomScalePageLayoutView="150" workbookViewId="1">
      <pane xSplit="2" ySplit="2" topLeftCell="C3" activePane="bottomRight" state="frozen"/>
      <selection activeCell="C56" sqref="C56"/>
      <selection pane="topRight" activeCell="C56" sqref="C56"/>
      <selection pane="bottomLeft" activeCell="C56" sqref="C56"/>
      <selection pane="bottomRight" activeCell="F4" sqref="F4"/>
    </sheetView>
  </sheetViews>
  <sheetFormatPr baseColWidth="10" defaultRowHeight="16" x14ac:dyDescent="0.2"/>
  <cols>
    <col min="1" max="1" width="5" customWidth="1"/>
    <col min="2" max="2" width="19.5" bestFit="1" customWidth="1"/>
    <col min="3" max="3" width="11.5" bestFit="1" customWidth="1"/>
    <col min="4" max="6" width="10.1640625" bestFit="1" customWidth="1"/>
    <col min="7" max="7" width="10.6640625" bestFit="1" customWidth="1"/>
    <col min="8" max="8" width="12.1640625" bestFit="1" customWidth="1"/>
    <col min="9" max="13" width="10.6640625" bestFit="1" customWidth="1"/>
    <col min="14" max="15" width="13.1640625" bestFit="1" customWidth="1"/>
    <col min="16" max="62" width="11.6640625" bestFit="1" customWidth="1"/>
  </cols>
  <sheetData>
    <row r="1" spans="1:62" s="1" customFormat="1" x14ac:dyDescent="0.2">
      <c r="A1" s="2" t="s">
        <v>93</v>
      </c>
    </row>
    <row r="2" spans="1:62" s="60" customFormat="1" x14ac:dyDescent="0.2">
      <c r="B2" s="61" t="s">
        <v>95</v>
      </c>
      <c r="C2" s="70">
        <v>44211</v>
      </c>
      <c r="D2" s="70">
        <f t="shared" ref="D2" si="0">C2+30</f>
        <v>44241</v>
      </c>
      <c r="E2" s="70">
        <f t="shared" ref="E2" si="1">D2+30</f>
        <v>44271</v>
      </c>
      <c r="F2" s="70">
        <f t="shared" ref="F2" si="2">E2+30</f>
        <v>44301</v>
      </c>
      <c r="G2" s="70">
        <f t="shared" ref="G2" si="3">F2+30</f>
        <v>44331</v>
      </c>
      <c r="H2" s="60">
        <f t="shared" ref="H2:BJ2" si="4">G2+30</f>
        <v>44361</v>
      </c>
      <c r="I2" s="60">
        <f t="shared" si="4"/>
        <v>44391</v>
      </c>
      <c r="J2" s="60">
        <f t="shared" si="4"/>
        <v>44421</v>
      </c>
      <c r="K2" s="60">
        <f t="shared" si="4"/>
        <v>44451</v>
      </c>
      <c r="L2" s="60">
        <f t="shared" si="4"/>
        <v>44481</v>
      </c>
      <c r="M2" s="60">
        <f t="shared" si="4"/>
        <v>44511</v>
      </c>
      <c r="N2" s="60">
        <f t="shared" si="4"/>
        <v>44541</v>
      </c>
      <c r="O2" s="60">
        <f t="shared" si="4"/>
        <v>44571</v>
      </c>
      <c r="P2" s="60">
        <f t="shared" si="4"/>
        <v>44601</v>
      </c>
      <c r="Q2" s="60">
        <f t="shared" si="4"/>
        <v>44631</v>
      </c>
      <c r="R2" s="60">
        <f t="shared" si="4"/>
        <v>44661</v>
      </c>
      <c r="S2" s="60">
        <f t="shared" si="4"/>
        <v>44691</v>
      </c>
      <c r="T2" s="60">
        <f t="shared" si="4"/>
        <v>44721</v>
      </c>
      <c r="U2" s="60">
        <f t="shared" si="4"/>
        <v>44751</v>
      </c>
      <c r="V2" s="60">
        <f t="shared" si="4"/>
        <v>44781</v>
      </c>
      <c r="W2" s="60">
        <f t="shared" si="4"/>
        <v>44811</v>
      </c>
      <c r="X2" s="60">
        <f t="shared" si="4"/>
        <v>44841</v>
      </c>
      <c r="Y2" s="60">
        <f t="shared" si="4"/>
        <v>44871</v>
      </c>
      <c r="Z2" s="60">
        <f t="shared" si="4"/>
        <v>44901</v>
      </c>
      <c r="AA2" s="60">
        <v>44941</v>
      </c>
      <c r="AB2" s="60">
        <f t="shared" si="4"/>
        <v>44971</v>
      </c>
      <c r="AC2" s="60">
        <f t="shared" si="4"/>
        <v>45001</v>
      </c>
      <c r="AD2" s="60">
        <f t="shared" si="4"/>
        <v>45031</v>
      </c>
      <c r="AE2" s="60">
        <f t="shared" si="4"/>
        <v>45061</v>
      </c>
      <c r="AF2" s="60">
        <f t="shared" si="4"/>
        <v>45091</v>
      </c>
      <c r="AG2" s="60">
        <f t="shared" si="4"/>
        <v>45121</v>
      </c>
      <c r="AH2" s="60">
        <f t="shared" si="4"/>
        <v>45151</v>
      </c>
      <c r="AI2" s="60">
        <f t="shared" si="4"/>
        <v>45181</v>
      </c>
      <c r="AJ2" s="60">
        <f t="shared" si="4"/>
        <v>45211</v>
      </c>
      <c r="AK2" s="60">
        <f t="shared" si="4"/>
        <v>45241</v>
      </c>
      <c r="AL2" s="60">
        <f t="shared" si="4"/>
        <v>45271</v>
      </c>
      <c r="AM2" s="60">
        <f t="shared" si="4"/>
        <v>45301</v>
      </c>
      <c r="AN2" s="60">
        <f t="shared" si="4"/>
        <v>45331</v>
      </c>
      <c r="AO2" s="60">
        <f t="shared" si="4"/>
        <v>45361</v>
      </c>
      <c r="AP2" s="60">
        <f t="shared" si="4"/>
        <v>45391</v>
      </c>
      <c r="AQ2" s="60">
        <f t="shared" si="4"/>
        <v>45421</v>
      </c>
      <c r="AR2" s="60">
        <f t="shared" si="4"/>
        <v>45451</v>
      </c>
      <c r="AS2" s="60">
        <f t="shared" si="4"/>
        <v>45481</v>
      </c>
      <c r="AT2" s="60">
        <f t="shared" si="4"/>
        <v>45511</v>
      </c>
      <c r="AU2" s="60">
        <f t="shared" si="4"/>
        <v>45541</v>
      </c>
      <c r="AV2" s="60">
        <f t="shared" si="4"/>
        <v>45571</v>
      </c>
      <c r="AW2" s="60">
        <f t="shared" si="4"/>
        <v>45601</v>
      </c>
      <c r="AX2" s="60">
        <f t="shared" si="4"/>
        <v>45631</v>
      </c>
      <c r="AY2" s="60">
        <v>45672</v>
      </c>
      <c r="AZ2" s="60">
        <f t="shared" si="4"/>
        <v>45702</v>
      </c>
      <c r="BA2" s="60">
        <f t="shared" si="4"/>
        <v>45732</v>
      </c>
      <c r="BB2" s="60">
        <f t="shared" si="4"/>
        <v>45762</v>
      </c>
      <c r="BC2" s="60">
        <f t="shared" si="4"/>
        <v>45792</v>
      </c>
      <c r="BD2" s="60">
        <f t="shared" si="4"/>
        <v>45822</v>
      </c>
      <c r="BE2" s="60">
        <f t="shared" si="4"/>
        <v>45852</v>
      </c>
      <c r="BF2" s="60">
        <f t="shared" si="4"/>
        <v>45882</v>
      </c>
      <c r="BG2" s="60">
        <f t="shared" si="4"/>
        <v>45912</v>
      </c>
      <c r="BH2" s="60">
        <f t="shared" si="4"/>
        <v>45942</v>
      </c>
      <c r="BI2" s="60">
        <f t="shared" si="4"/>
        <v>45972</v>
      </c>
      <c r="BJ2" s="60">
        <f t="shared" si="4"/>
        <v>46002</v>
      </c>
    </row>
    <row r="3" spans="1:62" x14ac:dyDescent="0.2">
      <c r="A3" t="s">
        <v>44</v>
      </c>
      <c r="C3" s="65"/>
      <c r="D3" s="65"/>
      <c r="E3" s="65"/>
      <c r="F3" s="65"/>
      <c r="G3" s="65"/>
    </row>
    <row r="4" spans="1:62" s="1" customFormat="1" x14ac:dyDescent="0.2">
      <c r="B4" s="1" t="s">
        <v>45</v>
      </c>
      <c r="C4" s="64">
        <v>3058.98</v>
      </c>
      <c r="D4" s="64">
        <v>3178.94</v>
      </c>
      <c r="E4" s="64">
        <v>3418.8599999999997</v>
      </c>
      <c r="F4" s="64">
        <v>3628.79</v>
      </c>
      <c r="G4" s="64">
        <v>8127.29</v>
      </c>
      <c r="H4" s="1">
        <f>'Sales Detail'!H17</f>
        <v>12085.97</v>
      </c>
      <c r="I4" s="1">
        <f>'Sales Detail'!I17</f>
        <v>16254.58</v>
      </c>
      <c r="J4" s="1">
        <f>'Sales Detail'!J17</f>
        <v>20243.25</v>
      </c>
      <c r="K4" s="1">
        <f>'Sales Detail'!K17</f>
        <v>24111.96</v>
      </c>
      <c r="L4" s="1">
        <f>'Sales Detail'!L17</f>
        <v>27860.71</v>
      </c>
      <c r="M4" s="1">
        <f>'Sales Detail'!M17</f>
        <v>31459.51</v>
      </c>
      <c r="N4" s="1">
        <f>'Sales Detail'!N17</f>
        <v>34938.35</v>
      </c>
      <c r="O4" s="1">
        <f>'Sales Detail'!O17</f>
        <v>38297.229999999996</v>
      </c>
      <c r="P4" s="1">
        <f>'Sales Detail'!P17</f>
        <v>41536.15</v>
      </c>
      <c r="Q4" s="1">
        <f>'Sales Detail'!Q17</f>
        <v>44685.1</v>
      </c>
      <c r="R4" s="1">
        <f>'Sales Detail'!R17</f>
        <v>47714.09</v>
      </c>
      <c r="S4" s="1">
        <f>'Sales Detail'!S17</f>
        <v>50653.11</v>
      </c>
      <c r="T4" s="1">
        <f>'Sales Detail'!T17</f>
        <v>53502.159999999996</v>
      </c>
      <c r="U4" s="1">
        <f>'Sales Detail'!U17</f>
        <v>56321.219999999994</v>
      </c>
      <c r="V4" s="1">
        <f>'Sales Detail'!V17</f>
        <v>59050.31</v>
      </c>
      <c r="W4" s="1">
        <f>'Sales Detail'!W17</f>
        <v>61719.42</v>
      </c>
      <c r="X4" s="1">
        <f>'Sales Detail'!X17</f>
        <v>64328.549999999996</v>
      </c>
      <c r="Y4" s="1">
        <f>'Sales Detail'!Y17</f>
        <v>66877.7</v>
      </c>
      <c r="Z4" s="1">
        <f>'Sales Detail'!Z17</f>
        <v>69396.86</v>
      </c>
      <c r="AA4" s="1">
        <f>'Sales Detail'!AA17</f>
        <v>71856.039999999994</v>
      </c>
      <c r="AB4" s="1">
        <f>'Sales Detail'!AB17</f>
        <v>74285.23</v>
      </c>
      <c r="AC4" s="1">
        <f>'Sales Detail'!AC17</f>
        <v>76714.42</v>
      </c>
      <c r="AD4" s="1">
        <f>'Sales Detail'!AD17</f>
        <v>79143.61</v>
      </c>
      <c r="AE4" s="1">
        <f>'Sales Detail'!AE17</f>
        <v>81542.81</v>
      </c>
      <c r="AF4" s="1">
        <f>'Sales Detail'!AF17</f>
        <v>83942.01</v>
      </c>
      <c r="AG4" s="1">
        <f>'Sales Detail'!AG17</f>
        <v>86371.199999999997</v>
      </c>
      <c r="AH4" s="1">
        <f>'Sales Detail'!AH17</f>
        <v>88830.37999999999</v>
      </c>
      <c r="AI4" s="1">
        <f>'Sales Detail'!AI17</f>
        <v>91349.54</v>
      </c>
      <c r="AJ4" s="1">
        <f>'Sales Detail'!AJ17</f>
        <v>93898.69</v>
      </c>
      <c r="AK4" s="1">
        <f>'Sales Detail'!AK17</f>
        <v>96507.819999999992</v>
      </c>
      <c r="AL4" s="1">
        <f>'Sales Detail'!AL17</f>
        <v>99176.93</v>
      </c>
      <c r="AM4" s="1">
        <f>'Sales Detail'!AM17</f>
        <v>101966</v>
      </c>
      <c r="AN4" s="1">
        <f>'Sales Detail'!AN17</f>
        <v>104845.04</v>
      </c>
      <c r="AO4" s="1">
        <f>'Sales Detail'!AO17</f>
        <v>107844.04</v>
      </c>
      <c r="AP4" s="1">
        <f>'Sales Detail'!AP17</f>
        <v>110992.98999999999</v>
      </c>
      <c r="AQ4" s="1">
        <f>'Sales Detail'!AQ17</f>
        <v>114321.87999999999</v>
      </c>
      <c r="AR4" s="1">
        <f>'Sales Detail'!AR17</f>
        <v>117830.70999999999</v>
      </c>
      <c r="AS4" s="1">
        <f>'Sales Detail'!AS17</f>
        <v>121549.46999999999</v>
      </c>
      <c r="AT4" s="1">
        <f>'Sales Detail'!AT17</f>
        <v>125508.15</v>
      </c>
      <c r="AU4" s="1">
        <f>'Sales Detail'!AU17</f>
        <v>129736.73999999999</v>
      </c>
      <c r="AV4" s="1">
        <f>'Sales Detail'!AV17</f>
        <v>134265.22999999998</v>
      </c>
      <c r="AW4" s="1">
        <f>'Sales Detail'!AW17</f>
        <v>139123.60999999999</v>
      </c>
      <c r="AX4" s="1">
        <f>'Sales Detail'!AX17</f>
        <v>144341.87</v>
      </c>
      <c r="AY4" s="1">
        <f>'Sales Detail'!AY17</f>
        <v>149950</v>
      </c>
      <c r="AZ4" s="1">
        <f>'Sales Detail'!AZ17</f>
        <v>156037.97</v>
      </c>
      <c r="BA4" s="1">
        <f>'Sales Detail'!BA17</f>
        <v>162635.76999999999</v>
      </c>
      <c r="BB4" s="1">
        <f>'Sales Detail'!BB17</f>
        <v>169803.38</v>
      </c>
      <c r="BC4" s="1">
        <f>'Sales Detail'!BC17</f>
        <v>177600.78</v>
      </c>
      <c r="BD4" s="1">
        <f>'Sales Detail'!BD17</f>
        <v>186057.96</v>
      </c>
      <c r="BE4" s="1">
        <f>'Sales Detail'!BE17</f>
        <v>195294.87999999998</v>
      </c>
      <c r="BF4" s="1">
        <f>'Sales Detail'!BF17</f>
        <v>205401.50999999998</v>
      </c>
      <c r="BG4" s="1">
        <f>'Sales Detail'!BG17</f>
        <v>216407.84</v>
      </c>
      <c r="BH4" s="1">
        <f>'Sales Detail'!BH17</f>
        <v>228433.83</v>
      </c>
      <c r="BI4" s="1">
        <f>'Sales Detail'!BI17</f>
        <v>241569.44999999998</v>
      </c>
      <c r="BJ4" s="1">
        <f>'Sales Detail'!BJ17</f>
        <v>255994.63999999998</v>
      </c>
    </row>
    <row r="5" spans="1:62" s="1" customFormat="1" x14ac:dyDescent="0.2">
      <c r="B5" s="1" t="s">
        <v>46</v>
      </c>
      <c r="C5" s="64">
        <v>145</v>
      </c>
      <c r="D5" s="64">
        <v>245</v>
      </c>
      <c r="E5" s="64">
        <v>257</v>
      </c>
      <c r="F5" s="64">
        <v>302</v>
      </c>
      <c r="G5" s="64">
        <v>703</v>
      </c>
      <c r="H5" s="1">
        <f>'Sales Detail'!H21</f>
        <v>1133.0596874999999</v>
      </c>
      <c r="I5" s="1">
        <f>'Sales Detail'!I21</f>
        <v>1584.8215499999999</v>
      </c>
      <c r="J5" s="1">
        <f>'Sales Detail'!J21</f>
        <v>2049.6290625000001</v>
      </c>
      <c r="K5" s="1">
        <f>'Sales Detail'!K21</f>
        <v>2531.7557999999999</v>
      </c>
      <c r="L5" s="1">
        <f>'Sales Detail'!L21</f>
        <v>3029.8522125000004</v>
      </c>
      <c r="M5" s="1">
        <f>'Sales Detail'!M21</f>
        <v>3539.1948750000006</v>
      </c>
      <c r="N5" s="1">
        <f>'Sales Detail'!N21</f>
        <v>4061.5831875000008</v>
      </c>
      <c r="O5" s="1">
        <f>'Sales Detail'!O21</f>
        <v>4595.6676000000007</v>
      </c>
      <c r="P5" s="1">
        <f>'Sales Detail'!P21</f>
        <v>5140.0985625000012</v>
      </c>
      <c r="Q5" s="1">
        <f>'Sales Detail'!Q21</f>
        <v>5697.3502500000013</v>
      </c>
      <c r="R5" s="1">
        <f>'Sales Detail'!R21</f>
        <v>6262.4743125000014</v>
      </c>
      <c r="S5" s="1">
        <f>'Sales Detail'!S21</f>
        <v>6838.169850000002</v>
      </c>
      <c r="T5" s="1">
        <f>'Sales Detail'!T21</f>
        <v>7423.4247000000032</v>
      </c>
      <c r="U5" s="1">
        <f>'Sales Detail'!U21</f>
        <v>8025.7738500000023</v>
      </c>
      <c r="V5" s="1">
        <f>'Sales Detail'!V21</f>
        <v>8636.1078375000034</v>
      </c>
      <c r="W5" s="1">
        <f>'Sales Detail'!W21</f>
        <v>9257.9130000000005</v>
      </c>
      <c r="X5" s="1">
        <f>'Sales Detail'!X21</f>
        <v>9649.2824999999993</v>
      </c>
      <c r="Y5" s="1">
        <f>'Sales Detail'!Y21</f>
        <v>10031.655000000001</v>
      </c>
      <c r="Z5" s="1">
        <f>'Sales Detail'!Z21</f>
        <v>10409.529</v>
      </c>
      <c r="AA5" s="1">
        <f>'Sales Detail'!AA21</f>
        <v>10778.405999999999</v>
      </c>
      <c r="AB5" s="1">
        <f>'Sales Detail'!AB21</f>
        <v>11142.7845</v>
      </c>
      <c r="AC5" s="1">
        <f>'Sales Detail'!AC21</f>
        <v>11507.163</v>
      </c>
      <c r="AD5" s="1">
        <f>'Sales Detail'!AD21</f>
        <v>11871.541499999999</v>
      </c>
      <c r="AE5" s="1">
        <f>'Sales Detail'!AE21</f>
        <v>12231.4215</v>
      </c>
      <c r="AF5" s="1">
        <f>'Sales Detail'!AF21</f>
        <v>12591.3015</v>
      </c>
      <c r="AG5" s="1">
        <f>'Sales Detail'!AG21</f>
        <v>12955.68</v>
      </c>
      <c r="AH5" s="1">
        <f>'Sales Detail'!AH21</f>
        <v>13324.557000000001</v>
      </c>
      <c r="AI5" s="1">
        <f>'Sales Detail'!AI21</f>
        <v>13702.431</v>
      </c>
      <c r="AJ5" s="1">
        <f>'Sales Detail'!AJ21</f>
        <v>14084.8035</v>
      </c>
      <c r="AK5" s="1">
        <f>'Sales Detail'!AK21</f>
        <v>14476.173000000001</v>
      </c>
      <c r="AL5" s="1">
        <f>'Sales Detail'!AL21</f>
        <v>14876.539499999999</v>
      </c>
      <c r="AM5" s="1">
        <f>'Sales Detail'!AM21</f>
        <v>15294.9</v>
      </c>
      <c r="AN5" s="1">
        <f>'Sales Detail'!AN21</f>
        <v>15726.755999999999</v>
      </c>
      <c r="AO5" s="1">
        <f>'Sales Detail'!AO21</f>
        <v>16176.606</v>
      </c>
      <c r="AP5" s="1">
        <f>'Sales Detail'!AP21</f>
        <v>16648.948499999999</v>
      </c>
      <c r="AQ5" s="1">
        <f>'Sales Detail'!AQ21</f>
        <v>17148.281999999999</v>
      </c>
      <c r="AR5" s="1">
        <f>'Sales Detail'!AR21</f>
        <v>17674.606499999998</v>
      </c>
      <c r="AS5" s="1">
        <f>'Sales Detail'!AS21</f>
        <v>18232.4205</v>
      </c>
      <c r="AT5" s="1">
        <f>'Sales Detail'!AT21</f>
        <v>18826.2225</v>
      </c>
      <c r="AU5" s="1">
        <f>'Sales Detail'!AU21</f>
        <v>19460.510999999999</v>
      </c>
      <c r="AV5" s="1">
        <f>'Sales Detail'!AV21</f>
        <v>20139.784499999998</v>
      </c>
      <c r="AW5" s="1">
        <f>'Sales Detail'!AW21</f>
        <v>20868.541499999999</v>
      </c>
      <c r="AX5" s="1">
        <f>'Sales Detail'!AX21</f>
        <v>21651.280500000001</v>
      </c>
      <c r="AY5" s="1">
        <f>'Sales Detail'!AY21</f>
        <v>22492.5</v>
      </c>
      <c r="AZ5" s="1">
        <f>'Sales Detail'!AZ21</f>
        <v>23405.695499999998</v>
      </c>
      <c r="BA5" s="1">
        <f>'Sales Detail'!BA21</f>
        <v>24395.3655</v>
      </c>
      <c r="BB5" s="1">
        <f>'Sales Detail'!BB21</f>
        <v>25470.507000000001</v>
      </c>
      <c r="BC5" s="1">
        <f>'Sales Detail'!BC21</f>
        <v>26640.116999999998</v>
      </c>
      <c r="BD5" s="1">
        <f>'Sales Detail'!BD21</f>
        <v>27908.694</v>
      </c>
      <c r="BE5" s="1">
        <f>'Sales Detail'!BE21</f>
        <v>29294.232</v>
      </c>
      <c r="BF5" s="1">
        <f>'Sales Detail'!BF21</f>
        <v>30810.226500000001</v>
      </c>
      <c r="BG5" s="1">
        <f>'Sales Detail'!BG21</f>
        <v>32461.175999999999</v>
      </c>
      <c r="BH5" s="1">
        <f>'Sales Detail'!BH21</f>
        <v>34265.074500000002</v>
      </c>
      <c r="BI5" s="1">
        <f>'Sales Detail'!BI21</f>
        <v>36235.417499999996</v>
      </c>
      <c r="BJ5" s="1">
        <f>'Sales Detail'!BJ21</f>
        <v>38399.195999999996</v>
      </c>
    </row>
    <row r="6" spans="1:62" s="1" customFormat="1" x14ac:dyDescent="0.2">
      <c r="B6" s="1" t="s">
        <v>47</v>
      </c>
      <c r="C6" s="64">
        <v>408.12</v>
      </c>
      <c r="D6" s="64">
        <v>515.44000000000005</v>
      </c>
      <c r="E6" s="64">
        <v>674.52</v>
      </c>
      <c r="F6" s="64">
        <v>981.75000000000011</v>
      </c>
      <c r="G6" s="64">
        <v>13602.51</v>
      </c>
      <c r="H6" s="1">
        <f>'Sales Detail'!H25</f>
        <v>13990.503600000002</v>
      </c>
      <c r="I6" s="1">
        <f>'Sales Detail'!I25</f>
        <v>14309.734428000002</v>
      </c>
      <c r="J6" s="1">
        <f>'Sales Detail'!J25</f>
        <v>14636.138287680003</v>
      </c>
      <c r="K6" s="1">
        <f>'Sales Detail'!K25</f>
        <v>15010.887762518403</v>
      </c>
      <c r="L6" s="1">
        <f>'Sales Detail'!L25</f>
        <v>15352.939139402019</v>
      </c>
      <c r="M6" s="1">
        <f>'Sales Detail'!M25</f>
        <v>15745.338510321886</v>
      </c>
      <c r="N6" s="1">
        <f>'Sales Detail'!N25</f>
        <v>16103.768980475556</v>
      </c>
      <c r="O6" s="1">
        <f>'Sales Detail'!O25</f>
        <v>16514.632707977416</v>
      </c>
      <c r="P6" s="1">
        <f>'Sales Detail'!P25</f>
        <v>16935.489476987164</v>
      </c>
      <c r="Q6" s="1">
        <f>'Sales Detail'!Q25</f>
        <v>17412.762362247711</v>
      </c>
      <c r="R6" s="1">
        <f>'Sales Detail'!R25</f>
        <v>17855.240514582816</v>
      </c>
      <c r="S6" s="1">
        <f>'Sales Detail'!S25</f>
        <v>18356.506369662395</v>
      </c>
      <c r="T6" s="1">
        <f>'Sales Detail'!T25</f>
        <v>18821.666007511434</v>
      </c>
      <c r="U6" s="1">
        <f>'Sales Detail'!U25</f>
        <v>19348.084478659017</v>
      </c>
      <c r="V6" s="1">
        <f>'Sales Detail'!V25</f>
        <v>19939.025973588607</v>
      </c>
      <c r="W6" s="1">
        <f>'Sales Detail'!W25</f>
        <v>20545.865894523911</v>
      </c>
      <c r="X6" s="1">
        <f>'Sales Detail'!X25</f>
        <v>21169.003801907194</v>
      </c>
      <c r="Y6" s="1">
        <f>'Sales Detail'!Y25</f>
        <v>21808.848879228</v>
      </c>
      <c r="Z6" s="1">
        <f>'Sales Detail'!Z25</f>
        <v>22521.018733447949</v>
      </c>
      <c r="AA6" s="1">
        <f>'Sales Detail'!AA25</f>
        <v>23252.951842285009</v>
      </c>
      <c r="AB6" s="1">
        <f>'Sales Detail'!AB25</f>
        <v>24062.582465752464</v>
      </c>
      <c r="AC6" s="1">
        <f>'Sales Detail'!AC25</f>
        <v>24953.8743031474</v>
      </c>
      <c r="AD6" s="1">
        <f>'Sales Detail'!AD25</f>
        <v>25871.192781051835</v>
      </c>
      <c r="AE6" s="1">
        <f>'Sales Detail'!AE25</f>
        <v>26876.166135733802</v>
      </c>
      <c r="AF6" s="1">
        <f>'Sales Detail'!AF25</f>
        <v>27910.989947490627</v>
      </c>
      <c r="AG6" s="1">
        <f>'Sales Detail'!AG25</f>
        <v>29103.267869969179</v>
      </c>
      <c r="AH6" s="1">
        <f>'Sales Detail'!AH25</f>
        <v>30332.072513367879</v>
      </c>
      <c r="AI6" s="1">
        <f>'Sales Detail'!AI25</f>
        <v>31664.35544252647</v>
      </c>
      <c r="AJ6" s="1">
        <f>'Sales Detail'!AJ25</f>
        <v>33172.370370476798</v>
      </c>
      <c r="AK6" s="1">
        <f>'Sales Detail'!AK25</f>
        <v>34728.040153368122</v>
      </c>
      <c r="AL6" s="1">
        <f>'Sales Detail'!AL25</f>
        <v>36542.683200117237</v>
      </c>
      <c r="AM6" s="1">
        <f>'Sales Detail'!AM25</f>
        <v>38416.020752674973</v>
      </c>
      <c r="AN6" s="1">
        <f>'Sales Detail'!AN25</f>
        <v>40495.341429845779</v>
      </c>
      <c r="AO6" s="1">
        <f>'Sales Detail'!AO25</f>
        <v>42791.048555508984</v>
      </c>
      <c r="AP6" s="1">
        <f>'Sales Detail'!AP25</f>
        <v>45313.93745992754</v>
      </c>
      <c r="AQ6" s="1">
        <f>'Sales Detail'!AQ25</f>
        <v>48152.49949546079</v>
      </c>
      <c r="AR6" s="1">
        <f>'Sales Detail'!AR25</f>
        <v>51165.315595513865</v>
      </c>
      <c r="AS6" s="1">
        <f>'Sales Detail'!AS25</f>
        <v>54520.625043503183</v>
      </c>
      <c r="AT6" s="1">
        <f>'Sales Detail'!AT25</f>
        <v>58317.769460249823</v>
      </c>
      <c r="AU6" s="1">
        <f>'Sales Detail'!AU25</f>
        <v>62412.316649357657</v>
      </c>
      <c r="AV6" s="1">
        <f>'Sales Detail'!AV25</f>
        <v>66988.662119491521</v>
      </c>
      <c r="AW6" s="1">
        <f>'Sales Detail'!AW25</f>
        <v>72071.266853041743</v>
      </c>
      <c r="AX6" s="1">
        <f>'Sales Detail'!AX25</f>
        <v>77685.514089782315</v>
      </c>
      <c r="AY6" s="1">
        <f>'Sales Detail'!AY25</f>
        <v>83948.298277088878</v>
      </c>
      <c r="AZ6" s="1">
        <f>'Sales Detail'!AZ25</f>
        <v>90892.371105446146</v>
      </c>
      <c r="BA6" s="1">
        <f>'Sales Detail'!BA25</f>
        <v>98551.71603640508</v>
      </c>
      <c r="BB6" s="1">
        <f>'Sales Detail'!BB25</f>
        <v>107153.79220669551</v>
      </c>
      <c r="BC6" s="1">
        <f>'Sales Detail'!BC25</f>
        <v>116746.69941572899</v>
      </c>
      <c r="BD6" s="1">
        <f>'Sales Detail'!BD25</f>
        <v>127380.35344815408</v>
      </c>
      <c r="BE6" s="1">
        <f>'Sales Detail'!BE25</f>
        <v>139310.51339590427</v>
      </c>
      <c r="BF6" s="1">
        <f>'Sales Detail'!BF25</f>
        <v>152603.14320265548</v>
      </c>
      <c r="BG6" s="1">
        <f>'Sales Detail'!BG25</f>
        <v>167432.79834578471</v>
      </c>
      <c r="BH6" s="1">
        <f>'Sales Detail'!BH25</f>
        <v>183985.09019745924</v>
      </c>
      <c r="BI6" s="1">
        <f>'Sales Detail'!BI25</f>
        <v>202457.19325328415</v>
      </c>
      <c r="BJ6" s="1">
        <f>'Sales Detail'!BJ25</f>
        <v>223170.97064807487</v>
      </c>
    </row>
    <row r="7" spans="1:62" s="1" customFormat="1" x14ac:dyDescent="0.2">
      <c r="B7" s="1" t="s">
        <v>48</v>
      </c>
      <c r="C7" s="64">
        <v>1.163745</v>
      </c>
      <c r="D7" s="64">
        <v>2.0117240000000001</v>
      </c>
      <c r="E7" s="64">
        <v>3.1397798000000003</v>
      </c>
      <c r="F7" s="64">
        <v>4.3179048000000009</v>
      </c>
      <c r="G7" s="64">
        <v>32.496064000000004</v>
      </c>
      <c r="H7" s="1">
        <f>'Sales Detail'!H31</f>
        <v>39.997878720800003</v>
      </c>
      <c r="I7" s="1">
        <f>'Sales Detail'!I31</f>
        <v>49.624836729331115</v>
      </c>
      <c r="J7" s="1">
        <f>'Sales Detail'!J31</f>
        <v>61.004773362344281</v>
      </c>
      <c r="K7" s="1">
        <f>'Sales Detail'!K31</f>
        <v>74.441357022492326</v>
      </c>
      <c r="L7" s="1">
        <f>'Sales Detail'!L31</f>
        <v>90.298029899665963</v>
      </c>
      <c r="M7" s="1">
        <f>'Sales Detail'!M31</f>
        <v>109.00286895367816</v>
      </c>
      <c r="N7" s="1">
        <f>'Sales Detail'!N31</f>
        <v>131.06144356810054</v>
      </c>
      <c r="O7" s="1">
        <f>'Sales Detail'!O31</f>
        <v>148.53805452484414</v>
      </c>
      <c r="P7" s="1">
        <f>'Sales Detail'!P31</f>
        <v>161.42376958289356</v>
      </c>
      <c r="Q7" s="1">
        <f>'Sales Detail'!Q31</f>
        <v>175.06725575099813</v>
      </c>
      <c r="R7" s="1">
        <f>'Sales Detail'!R31</f>
        <v>189.56404266966496</v>
      </c>
      <c r="S7" s="1">
        <f>'Sales Detail'!S31</f>
        <v>194.76422338708187</v>
      </c>
      <c r="T7" s="1">
        <f>'Sales Detail'!T31</f>
        <v>200.44130025124053</v>
      </c>
      <c r="U7" s="1">
        <f>'Sales Detail'!U31</f>
        <v>206.643950401815</v>
      </c>
      <c r="V7" s="1">
        <f>'Sales Detail'!V31</f>
        <v>213.43230219244697</v>
      </c>
      <c r="W7" s="1">
        <f>'Sales Detail'!W31</f>
        <v>220.85867146214215</v>
      </c>
      <c r="X7" s="1">
        <f>'Sales Detail'!X31</f>
        <v>228.99113923380679</v>
      </c>
      <c r="Y7" s="1">
        <f>'Sales Detail'!Y31</f>
        <v>237.90097370763792</v>
      </c>
      <c r="Z7" s="1">
        <f>'Sales Detail'!Z31</f>
        <v>247.66656990385212</v>
      </c>
      <c r="AA7" s="1">
        <f>'Sales Detail'!AA31</f>
        <v>258.37745409468789</v>
      </c>
      <c r="AB7" s="1">
        <f>'Sales Detail'!AB31</f>
        <v>270.12519250460707</v>
      </c>
      <c r="AC7" s="1">
        <f>'Sales Detail'!AC31</f>
        <v>283.01742065551821</v>
      </c>
      <c r="AD7" s="1">
        <f>'Sales Detail'!AD31</f>
        <v>297.17220844652047</v>
      </c>
      <c r="AE7" s="1">
        <f>'Sales Detail'!AE31</f>
        <v>312.71581184162301</v>
      </c>
      <c r="AF7" s="1">
        <f>'Sales Detail'!AF31</f>
        <v>329.78382065123583</v>
      </c>
      <c r="AG7" s="1">
        <f>'Sales Detail'!AG31</f>
        <v>348.5322963418098</v>
      </c>
      <c r="AH7" s="1">
        <f>'Sales Detail'!AH31</f>
        <v>369.13257735144123</v>
      </c>
      <c r="AI7" s="1">
        <f>'Sales Detail'!AI31</f>
        <v>391.76951503703594</v>
      </c>
      <c r="AJ7" s="1">
        <f>'Sales Detail'!AJ31</f>
        <v>416.64973764118992</v>
      </c>
      <c r="AK7" s="1">
        <f>'Sales Detail'!AK31</f>
        <v>443.99362355575937</v>
      </c>
      <c r="AL7" s="1">
        <f>'Sales Detail'!AL31</f>
        <v>474.05050168678576</v>
      </c>
      <c r="AM7" s="1">
        <f>'Sales Detail'!AM31</f>
        <v>507.09101290591485</v>
      </c>
      <c r="AN7" s="1">
        <f>'Sales Detail'!AN31</f>
        <v>543.41944567195674</v>
      </c>
      <c r="AO7" s="1">
        <f>'Sales Detail'!AO31</f>
        <v>583.35998368960293</v>
      </c>
      <c r="AP7" s="1">
        <f>'Sales Detail'!AP31</f>
        <v>627.2761417090137</v>
      </c>
      <c r="AQ7" s="1">
        <f>'Sales Detail'!AQ31</f>
        <v>675.56745678036543</v>
      </c>
      <c r="AR7" s="1">
        <f>'Sales Detail'!AR31</f>
        <v>728.67309048385232</v>
      </c>
      <c r="AS7" s="1">
        <f>'Sales Detail'!AS31</f>
        <v>787.07249963268816</v>
      </c>
      <c r="AT7" s="1">
        <f>'Sales Detail'!AT31</f>
        <v>851.29637847140737</v>
      </c>
      <c r="AU7" s="1">
        <f>'Sales Detail'!AU31</f>
        <v>921.92816149399869</v>
      </c>
      <c r="AV7" s="1">
        <f>'Sales Detail'!AV31</f>
        <v>999.60929746884926</v>
      </c>
      <c r="AW7" s="1">
        <f>'Sales Detail'!AW31</f>
        <v>1085.0450508661845</v>
      </c>
      <c r="AX7" s="1">
        <f>'Sales Detail'!AX31</f>
        <v>1179.0108834282532</v>
      </c>
      <c r="AY7" s="1">
        <f>'Sales Detail'!AY31</f>
        <v>1282.3594738965294</v>
      </c>
      <c r="AZ7" s="1">
        <f>'Sales Detail'!AZ31</f>
        <v>1396.0284397116334</v>
      </c>
      <c r="BA7" s="1">
        <f>'Sales Detail'!BA31</f>
        <v>1521.0554143832471</v>
      </c>
      <c r="BB7" s="1">
        <f>'Sales Detail'!BB31</f>
        <v>1658.5742237470217</v>
      </c>
      <c r="BC7" s="1">
        <f>'Sales Detail'!BC31</f>
        <v>1809.8350387971745</v>
      </c>
      <c r="BD7" s="1">
        <f>'Sales Detail'!BD31</f>
        <v>1976.2123892773425</v>
      </c>
      <c r="BE7" s="1">
        <f>'Sales Detail'!BE31</f>
        <v>2159.2143078055274</v>
      </c>
      <c r="BF7" s="1">
        <f>'Sales Detail'!BF31</f>
        <v>2360.5091763365308</v>
      </c>
      <c r="BG7" s="1">
        <f>'Sales Detail'!BG31</f>
        <v>2581.9276065706345</v>
      </c>
      <c r="BH7" s="1">
        <f>'Sales Detail'!BH31</f>
        <v>2825.475700353149</v>
      </c>
      <c r="BI7" s="1">
        <f>'Sales Detail'!BI31</f>
        <v>3093.3697157889133</v>
      </c>
      <c r="BJ7" s="1">
        <f>'Sales Detail'!BJ31</f>
        <v>3388.0429283432559</v>
      </c>
    </row>
    <row r="8" spans="1:62" s="3" customFormat="1" x14ac:dyDescent="0.2">
      <c r="A8" s="3" t="s">
        <v>28</v>
      </c>
      <c r="C8" s="69">
        <v>3613.2637449999997</v>
      </c>
      <c r="D8" s="69">
        <v>3941.3917240000001</v>
      </c>
      <c r="E8" s="69">
        <v>4353.519779799999</v>
      </c>
      <c r="F8" s="69">
        <v>4916.8579048000001</v>
      </c>
      <c r="G8" s="69">
        <v>22465.296064000002</v>
      </c>
      <c r="H8" s="12">
        <f t="shared" ref="H8:BJ8" si="5">SUM(H4:H7)</f>
        <v>27249.531166220801</v>
      </c>
      <c r="I8" s="12">
        <f t="shared" si="5"/>
        <v>32198.760814729329</v>
      </c>
      <c r="J8" s="12">
        <f t="shared" si="5"/>
        <v>36990.022123542345</v>
      </c>
      <c r="K8" s="12">
        <f t="shared" si="5"/>
        <v>41729.044919540895</v>
      </c>
      <c r="L8" s="12">
        <f t="shared" si="5"/>
        <v>46333.799381801684</v>
      </c>
      <c r="M8" s="12">
        <f t="shared" si="5"/>
        <v>50853.046254275563</v>
      </c>
      <c r="N8" s="12">
        <f t="shared" si="5"/>
        <v>55234.763611543654</v>
      </c>
      <c r="O8" s="12">
        <f t="shared" si="5"/>
        <v>59556.068362502258</v>
      </c>
      <c r="P8" s="12">
        <f t="shared" si="5"/>
        <v>63773.161809070065</v>
      </c>
      <c r="Q8" s="12">
        <f t="shared" si="5"/>
        <v>67970.279867998703</v>
      </c>
      <c r="R8" s="12">
        <f t="shared" si="5"/>
        <v>72021.368869752478</v>
      </c>
      <c r="S8" s="12">
        <f t="shared" si="5"/>
        <v>76042.550443049491</v>
      </c>
      <c r="T8" s="12">
        <f t="shared" si="5"/>
        <v>79947.692007762686</v>
      </c>
      <c r="U8" s="12">
        <f t="shared" si="5"/>
        <v>83901.722279060836</v>
      </c>
      <c r="V8" s="12">
        <f t="shared" si="5"/>
        <v>87838.876113281061</v>
      </c>
      <c r="W8" s="12">
        <f t="shared" si="5"/>
        <v>91744.057565986062</v>
      </c>
      <c r="X8" s="12">
        <f t="shared" si="5"/>
        <v>95375.827441140995</v>
      </c>
      <c r="Y8" s="12">
        <f t="shared" si="5"/>
        <v>98956.104852935634</v>
      </c>
      <c r="Z8" s="12">
        <f t="shared" si="5"/>
        <v>102575.07430335179</v>
      </c>
      <c r="AA8" s="12">
        <f t="shared" si="5"/>
        <v>106145.7752963797</v>
      </c>
      <c r="AB8" s="12">
        <f t="shared" si="5"/>
        <v>109760.72215825706</v>
      </c>
      <c r="AC8" s="12">
        <f t="shared" si="5"/>
        <v>113458.47472380292</v>
      </c>
      <c r="AD8" s="12">
        <f t="shared" si="5"/>
        <v>117183.51648949836</v>
      </c>
      <c r="AE8" s="12">
        <f t="shared" si="5"/>
        <v>120963.11344757542</v>
      </c>
      <c r="AF8" s="12">
        <f t="shared" si="5"/>
        <v>124774.08526814186</v>
      </c>
      <c r="AG8" s="12">
        <f t="shared" si="5"/>
        <v>128778.68016631099</v>
      </c>
      <c r="AH8" s="12">
        <f t="shared" si="5"/>
        <v>132856.14209071931</v>
      </c>
      <c r="AI8" s="12">
        <f t="shared" si="5"/>
        <v>137108.09595756349</v>
      </c>
      <c r="AJ8" s="12">
        <f t="shared" si="5"/>
        <v>141572.51360811797</v>
      </c>
      <c r="AK8" s="12">
        <f t="shared" si="5"/>
        <v>146156.02677692386</v>
      </c>
      <c r="AL8" s="12">
        <f t="shared" si="5"/>
        <v>151070.20320180402</v>
      </c>
      <c r="AM8" s="12">
        <f t="shared" si="5"/>
        <v>156184.01176558089</v>
      </c>
      <c r="AN8" s="12">
        <f t="shared" si="5"/>
        <v>161610.55687551771</v>
      </c>
      <c r="AO8" s="12">
        <f t="shared" si="5"/>
        <v>167395.05453919858</v>
      </c>
      <c r="AP8" s="12">
        <f t="shared" si="5"/>
        <v>173583.15210163654</v>
      </c>
      <c r="AQ8" s="12">
        <f t="shared" si="5"/>
        <v>180298.22895224116</v>
      </c>
      <c r="AR8" s="12">
        <f t="shared" si="5"/>
        <v>187399.30518599771</v>
      </c>
      <c r="AS8" s="12">
        <f t="shared" si="5"/>
        <v>195089.58804313585</v>
      </c>
      <c r="AT8" s="12">
        <f t="shared" si="5"/>
        <v>203503.4383387212</v>
      </c>
      <c r="AU8" s="12">
        <f t="shared" si="5"/>
        <v>212531.49581085166</v>
      </c>
      <c r="AV8" s="12">
        <f t="shared" si="5"/>
        <v>222393.28591696036</v>
      </c>
      <c r="AW8" s="12">
        <f t="shared" si="5"/>
        <v>233148.4634039079</v>
      </c>
      <c r="AX8" s="12">
        <f t="shared" si="5"/>
        <v>244857.67547321055</v>
      </c>
      <c r="AY8" s="12">
        <f t="shared" si="5"/>
        <v>257673.15775098541</v>
      </c>
      <c r="AZ8" s="12">
        <f t="shared" si="5"/>
        <v>271732.06504515774</v>
      </c>
      <c r="BA8" s="12">
        <f t="shared" si="5"/>
        <v>287103.90695078828</v>
      </c>
      <c r="BB8" s="12">
        <f t="shared" si="5"/>
        <v>304086.25343044254</v>
      </c>
      <c r="BC8" s="12">
        <f t="shared" si="5"/>
        <v>322797.43145452614</v>
      </c>
      <c r="BD8" s="12">
        <f t="shared" si="5"/>
        <v>343323.21983743139</v>
      </c>
      <c r="BE8" s="12">
        <f t="shared" si="5"/>
        <v>366058.83970370976</v>
      </c>
      <c r="BF8" s="12">
        <f t="shared" si="5"/>
        <v>391175.388878992</v>
      </c>
      <c r="BG8" s="12">
        <f t="shared" si="5"/>
        <v>418883.74195235537</v>
      </c>
      <c r="BH8" s="12">
        <f t="shared" si="5"/>
        <v>449509.47039781243</v>
      </c>
      <c r="BI8" s="12">
        <f t="shared" si="5"/>
        <v>483355.43046907306</v>
      </c>
      <c r="BJ8" s="12">
        <f t="shared" si="5"/>
        <v>520952.84957641811</v>
      </c>
    </row>
    <row r="9" spans="1:62" x14ac:dyDescent="0.2">
      <c r="C9" s="65"/>
      <c r="D9" s="65"/>
      <c r="E9" s="65"/>
      <c r="F9" s="65"/>
      <c r="G9" s="65"/>
    </row>
    <row r="10" spans="1:62" x14ac:dyDescent="0.2">
      <c r="A10" t="s">
        <v>43</v>
      </c>
      <c r="C10" s="65"/>
      <c r="D10" s="65"/>
      <c r="E10" s="65"/>
      <c r="F10" s="65"/>
      <c r="G10" s="65"/>
    </row>
    <row r="11" spans="1:62" x14ac:dyDescent="0.2">
      <c r="B11" t="s">
        <v>56</v>
      </c>
      <c r="C11" s="64">
        <v>500.33600000000001</v>
      </c>
      <c r="D11" s="64">
        <v>500.5025</v>
      </c>
      <c r="E11" s="64">
        <v>500.60599999999999</v>
      </c>
      <c r="F11" s="64">
        <v>500.69150000000002</v>
      </c>
      <c r="G11" s="64">
        <v>503.92950000000002</v>
      </c>
      <c r="H11" s="1">
        <f>InternetBaseCost+InternetCostPer1MMVisits*'Traffic Detail'!H22/1000000</f>
        <v>503.89979707507507</v>
      </c>
      <c r="I11" s="1">
        <f>InternetBaseCost+InternetCostPer1MMVisits*'Traffic Detail'!I22/1000000</f>
        <v>503.9587125250751</v>
      </c>
      <c r="J11" s="1">
        <f>InternetBaseCost+InternetCostPer1MMVisits*'Traffic Detail'!J22/1000000</f>
        <v>504.02191902007507</v>
      </c>
      <c r="K11" s="1">
        <f>InternetBaseCost+InternetCostPer1MMVisits*'Traffic Detail'!K22/1000000</f>
        <v>504.0898044145751</v>
      </c>
      <c r="L11" s="1">
        <f>InternetBaseCost+InternetCostPer1MMVisits*'Traffic Detail'!L22/1000000</f>
        <v>504.1630510985251</v>
      </c>
      <c r="M11" s="1">
        <f>InternetBaseCost+InternetCostPer1MMVisits*'Traffic Detail'!M22/1000000</f>
        <v>504.2422282008701</v>
      </c>
      <c r="N11" s="1">
        <f>InternetBaseCost+InternetCostPer1MMVisits*'Traffic Detail'!N22/1000000</f>
        <v>504.32787926344957</v>
      </c>
      <c r="O11" s="1">
        <f>InternetBaseCost+InternetCostPer1MMVisits*'Traffic Detail'!O22/1000000</f>
        <v>504.42077543228703</v>
      </c>
      <c r="P11" s="1">
        <f>InternetBaseCost+InternetCostPer1MMVisits*'Traffic Detail'!P22/1000000</f>
        <v>504.52167421800823</v>
      </c>
      <c r="Q11" s="1">
        <f>InternetBaseCost+InternetCostPer1MMVisits*'Traffic Detail'!Q22/1000000</f>
        <v>504.63140888230151</v>
      </c>
      <c r="R11" s="1">
        <f>InternetBaseCost+InternetCostPer1MMVisits*'Traffic Detail'!R22/1000000</f>
        <v>504.75097851302417</v>
      </c>
      <c r="S11" s="1">
        <f>InternetBaseCost+InternetCostPer1MMVisits*'Traffic Detail'!S22/1000000</f>
        <v>504.88130885681909</v>
      </c>
      <c r="T11" s="1">
        <f>InternetBaseCost+InternetCostPer1MMVisits*'Traffic Detail'!T22/1000000</f>
        <v>505.02359148499352</v>
      </c>
      <c r="U11" s="1">
        <f>InternetBaseCost+InternetCostPer1MMVisits*'Traffic Detail'!U22/1000000</f>
        <v>505.17904637598531</v>
      </c>
      <c r="V11" s="1">
        <f>InternetBaseCost+InternetCostPer1MMVisits*'Traffic Detail'!V22/1000000</f>
        <v>505.34918050607638</v>
      </c>
      <c r="W11" s="1">
        <f>InternetBaseCost+InternetCostPer1MMVisits*'Traffic Detail'!W22/1000000</f>
        <v>505.53530504917649</v>
      </c>
      <c r="X11" s="1">
        <f>InternetBaseCost+InternetCostPer1MMVisits*'Traffic Detail'!X22/1000000</f>
        <v>505.73912629658662</v>
      </c>
      <c r="Y11" s="1">
        <f>InternetBaseCost+InternetCostPer1MMVisits*'Traffic Detail'!Y22/1000000</f>
        <v>505.96243041873777</v>
      </c>
      <c r="Z11" s="1">
        <f>InternetBaseCost+InternetCostPer1MMVisits*'Traffic Detail'!Z22/1000000</f>
        <v>506.20718220310408</v>
      </c>
      <c r="AA11" s="1">
        <f>InternetBaseCost+InternetCostPer1MMVisits*'Traffic Detail'!AA22/1000000</f>
        <v>506.47562541590696</v>
      </c>
      <c r="AB11" s="1">
        <f>InternetBaseCost+InternetCostPer1MMVisits*'Traffic Detail'!AB22/1000000</f>
        <v>506.77005494999014</v>
      </c>
      <c r="AC11" s="1">
        <f>InternetBaseCost+InternetCostPer1MMVisits*'Traffic Detail'!AC22/1000000</f>
        <v>507.09316843748167</v>
      </c>
      <c r="AD11" s="1">
        <f>InternetBaseCost+InternetCostPer1MMVisits*'Traffic Detail'!AD22/1000000</f>
        <v>507.44792502372229</v>
      </c>
      <c r="AE11" s="1">
        <f>InternetBaseCost+InternetCostPer1MMVisits*'Traffic Detail'!AE22/1000000</f>
        <v>507.83748901858706</v>
      </c>
      <c r="AF11" s="1">
        <f>InternetBaseCost+InternetCostPer1MMVisits*'Traffic Detail'!AF22/1000000</f>
        <v>508.26525866293821</v>
      </c>
      <c r="AG11" s="1">
        <f>InternetBaseCost+InternetCostPer1MMVisits*'Traffic Detail'!AG22/1000000</f>
        <v>508.73514527172455</v>
      </c>
      <c r="AH11" s="1">
        <f>InternetBaseCost+InternetCostPer1MMVisits*'Traffic Detail'!AH22/1000000</f>
        <v>509.25144304138951</v>
      </c>
      <c r="AI11" s="1">
        <f>InternetBaseCost+InternetCostPer1MMVisits*'Traffic Detail'!AI22/1000000</f>
        <v>509.81878483802092</v>
      </c>
      <c r="AJ11" s="1">
        <f>InternetBaseCost+InternetCostPer1MMVisits*'Traffic Detail'!AJ22/1000000</f>
        <v>510.44234931431555</v>
      </c>
      <c r="AK11" s="1">
        <f>InternetBaseCost+InternetCostPer1MMVisits*'Traffic Detail'!AK22/1000000</f>
        <v>511.12765973823957</v>
      </c>
      <c r="AL11" s="1">
        <f>InternetBaseCost+InternetCostPer1MMVisits*'Traffic Detail'!AL22/1000000</f>
        <v>511.88096495455602</v>
      </c>
      <c r="AM11" s="1">
        <f>InternetBaseCost+InternetCostPer1MMVisits*'Traffic Detail'!AM22/1000000</f>
        <v>512.70904794250407</v>
      </c>
      <c r="AN11" s="1">
        <f>InternetBaseCost+InternetCostPer1MMVisits*'Traffic Detail'!AN22/1000000</f>
        <v>513.61953497924708</v>
      </c>
      <c r="AO11" s="1">
        <f>InternetBaseCost+InternetCostPer1MMVisits*'Traffic Detail'!AO22/1000000</f>
        <v>514.62055096966424</v>
      </c>
      <c r="AP11" s="1">
        <f>InternetBaseCost+InternetCostPer1MMVisits*'Traffic Detail'!AP22/1000000</f>
        <v>515.72120655912317</v>
      </c>
      <c r="AQ11" s="1">
        <f>InternetBaseCost+InternetCostPer1MMVisits*'Traffic Detail'!AQ22/1000000</f>
        <v>516.93151520752792</v>
      </c>
      <c r="AR11" s="1">
        <f>InternetBaseCost+InternetCostPer1MMVisits*'Traffic Detail'!AR22/1000000</f>
        <v>518.26248347077319</v>
      </c>
      <c r="AS11" s="1">
        <f>InternetBaseCost+InternetCostPer1MMVisits*'Traffic Detail'!AS22/1000000</f>
        <v>519.72612781034309</v>
      </c>
      <c r="AT11" s="1">
        <f>InternetBaseCost+InternetCostPer1MMVisits*'Traffic Detail'!AT22/1000000</f>
        <v>521.33574883386984</v>
      </c>
      <c r="AU11" s="1">
        <f>InternetBaseCost+InternetCostPer1MMVisits*'Traffic Detail'!AU22/1000000</f>
        <v>523.10596895974936</v>
      </c>
      <c r="AV11" s="1">
        <f>InternetBaseCost+InternetCostPer1MMVisits*'Traffic Detail'!AV22/1000000</f>
        <v>525.05286459821673</v>
      </c>
      <c r="AW11" s="1">
        <f>InternetBaseCost+InternetCostPer1MMVisits*'Traffic Detail'!AW22/1000000</f>
        <v>527.19411155053092</v>
      </c>
      <c r="AX11" s="1">
        <f>InternetBaseCost+InternetCostPer1MMVisits*'Traffic Detail'!AX22/1000000</f>
        <v>529.54914494807656</v>
      </c>
      <c r="AY11" s="1">
        <f>InternetBaseCost+InternetCostPer1MMVisits*'Traffic Detail'!AY22/1000000</f>
        <v>532.13933518537669</v>
      </c>
      <c r="AZ11" s="1">
        <f>InternetBaseCost+InternetCostPer1MMVisits*'Traffic Detail'!AZ22/1000000</f>
        <v>534.98818144640688</v>
      </c>
      <c r="BA11" s="1">
        <f>InternetBaseCost+InternetCostPer1MMVisits*'Traffic Detail'!BA22/1000000</f>
        <v>538.12168958354005</v>
      </c>
      <c r="BB11" s="1">
        <f>InternetBaseCost+InternetCostPer1MMVisits*'Traffic Detail'!BB22/1000000</f>
        <v>541.56827628438646</v>
      </c>
      <c r="BC11" s="1">
        <f>InternetBaseCost+InternetCostPer1MMVisits*'Traffic Detail'!BC22/1000000</f>
        <v>545.35927415531762</v>
      </c>
      <c r="BD11" s="1">
        <f>InternetBaseCost+InternetCostPer1MMVisits*'Traffic Detail'!BD22/1000000</f>
        <v>549.52913256334193</v>
      </c>
      <c r="BE11" s="1">
        <f>InternetBaseCost+InternetCostPer1MMVisits*'Traffic Detail'!BE22/1000000</f>
        <v>554.11564681216862</v>
      </c>
      <c r="BF11" s="1">
        <f>InternetBaseCost+InternetCostPer1MMVisits*'Traffic Detail'!BF22/1000000</f>
        <v>559.1606309858779</v>
      </c>
      <c r="BG11" s="1">
        <f>InternetBaseCost+InternetCostPer1MMVisits*'Traffic Detail'!BG22/1000000</f>
        <v>564.70996507695827</v>
      </c>
      <c r="BH11" s="1">
        <f>InternetBaseCost+InternetCostPer1MMVisits*'Traffic Detail'!BH22/1000000</f>
        <v>570.81392732714653</v>
      </c>
      <c r="BI11" s="1">
        <f>InternetBaseCost+InternetCostPer1MMVisits*'Traffic Detail'!BI22/1000000</f>
        <v>577.52806305235367</v>
      </c>
      <c r="BJ11" s="1">
        <f>InternetBaseCost+InternetCostPer1MMVisits*'Traffic Detail'!BJ22/1000000</f>
        <v>584.91335660008156</v>
      </c>
    </row>
    <row r="12" spans="1:62" s="1" customFormat="1" x14ac:dyDescent="0.2">
      <c r="B12" s="1" t="s">
        <v>45</v>
      </c>
      <c r="C12" s="64">
        <v>2294.2350000000001</v>
      </c>
      <c r="D12" s="64">
        <v>2384.2049999999999</v>
      </c>
      <c r="E12" s="64">
        <v>2564.1449999999995</v>
      </c>
      <c r="F12" s="64">
        <v>2721.5924999999997</v>
      </c>
      <c r="G12" s="64">
        <v>6095.4674999999997</v>
      </c>
      <c r="H12" s="1">
        <f t="shared" ref="H12:AH12" si="6">(1-SubscriptionMargin)*H4</f>
        <v>9064.4774999999991</v>
      </c>
      <c r="I12" s="1">
        <f t="shared" si="6"/>
        <v>12190.934999999999</v>
      </c>
      <c r="J12" s="1">
        <f t="shared" si="6"/>
        <v>15182.4375</v>
      </c>
      <c r="K12" s="1">
        <f t="shared" si="6"/>
        <v>18083.97</v>
      </c>
      <c r="L12" s="1">
        <f t="shared" si="6"/>
        <v>20895.532500000001</v>
      </c>
      <c r="M12" s="1">
        <f t="shared" si="6"/>
        <v>23594.6325</v>
      </c>
      <c r="N12" s="1">
        <f t="shared" si="6"/>
        <v>26203.762499999997</v>
      </c>
      <c r="O12" s="1">
        <f t="shared" si="6"/>
        <v>28722.922499999997</v>
      </c>
      <c r="P12" s="1">
        <f t="shared" si="6"/>
        <v>31152.112500000003</v>
      </c>
      <c r="Q12" s="1">
        <f t="shared" si="6"/>
        <v>33513.824999999997</v>
      </c>
      <c r="R12" s="1">
        <f t="shared" si="6"/>
        <v>35785.567499999997</v>
      </c>
      <c r="S12" s="1">
        <f t="shared" si="6"/>
        <v>37989.832500000004</v>
      </c>
      <c r="T12" s="1">
        <f t="shared" si="6"/>
        <v>40126.619999999995</v>
      </c>
      <c r="U12" s="1">
        <f t="shared" si="6"/>
        <v>42240.914999999994</v>
      </c>
      <c r="V12" s="1">
        <f t="shared" si="6"/>
        <v>44287.732499999998</v>
      </c>
      <c r="W12" s="1">
        <f t="shared" si="6"/>
        <v>46289.565000000002</v>
      </c>
      <c r="X12" s="1">
        <f t="shared" si="6"/>
        <v>48246.412499999999</v>
      </c>
      <c r="Y12" s="1">
        <f t="shared" si="6"/>
        <v>50158.274999999994</v>
      </c>
      <c r="Z12" s="1">
        <f t="shared" si="6"/>
        <v>52047.645000000004</v>
      </c>
      <c r="AA12" s="1">
        <f t="shared" si="6"/>
        <v>53892.03</v>
      </c>
      <c r="AB12" s="1">
        <f t="shared" si="6"/>
        <v>55713.922500000001</v>
      </c>
      <c r="AC12" s="1">
        <f t="shared" si="6"/>
        <v>57535.815000000002</v>
      </c>
      <c r="AD12" s="1">
        <f t="shared" si="6"/>
        <v>59357.707500000004</v>
      </c>
      <c r="AE12" s="1">
        <f t="shared" si="6"/>
        <v>61157.107499999998</v>
      </c>
      <c r="AF12" s="1">
        <f t="shared" si="6"/>
        <v>62956.507499999992</v>
      </c>
      <c r="AG12" s="1">
        <f t="shared" si="6"/>
        <v>64778.399999999994</v>
      </c>
      <c r="AH12" s="1">
        <f t="shared" si="6"/>
        <v>66622.784999999989</v>
      </c>
      <c r="AI12" s="1">
        <f t="shared" ref="AI12:BJ12" si="7">(1-SubscriptionMargin)*AI4</f>
        <v>68512.154999999999</v>
      </c>
      <c r="AJ12" s="1">
        <f t="shared" si="7"/>
        <v>70424.017500000002</v>
      </c>
      <c r="AK12" s="1">
        <f t="shared" si="7"/>
        <v>72380.864999999991</v>
      </c>
      <c r="AL12" s="1">
        <f t="shared" si="7"/>
        <v>74382.697499999995</v>
      </c>
      <c r="AM12" s="1">
        <f t="shared" si="7"/>
        <v>76474.5</v>
      </c>
      <c r="AN12" s="1">
        <f t="shared" si="7"/>
        <v>78633.78</v>
      </c>
      <c r="AO12" s="1">
        <f t="shared" si="7"/>
        <v>80883.03</v>
      </c>
      <c r="AP12" s="1">
        <f t="shared" si="7"/>
        <v>83244.742499999993</v>
      </c>
      <c r="AQ12" s="1">
        <f t="shared" si="7"/>
        <v>85741.409999999989</v>
      </c>
      <c r="AR12" s="1">
        <f t="shared" si="7"/>
        <v>88373.032500000001</v>
      </c>
      <c r="AS12" s="1">
        <f t="shared" si="7"/>
        <v>91162.102499999994</v>
      </c>
      <c r="AT12" s="1">
        <f t="shared" si="7"/>
        <v>94131.112499999988</v>
      </c>
      <c r="AU12" s="1">
        <f t="shared" si="7"/>
        <v>97302.554999999993</v>
      </c>
      <c r="AV12" s="1">
        <f t="shared" si="7"/>
        <v>100698.92249999999</v>
      </c>
      <c r="AW12" s="1">
        <f t="shared" si="7"/>
        <v>104342.70749999999</v>
      </c>
      <c r="AX12" s="1">
        <f t="shared" si="7"/>
        <v>108256.4025</v>
      </c>
      <c r="AY12" s="1">
        <f t="shared" si="7"/>
        <v>112462.5</v>
      </c>
      <c r="AZ12" s="1">
        <f t="shared" si="7"/>
        <v>117028.47750000001</v>
      </c>
      <c r="BA12" s="1">
        <f t="shared" si="7"/>
        <v>121976.82749999998</v>
      </c>
      <c r="BB12" s="1">
        <f t="shared" si="7"/>
        <v>127352.535</v>
      </c>
      <c r="BC12" s="1">
        <f t="shared" si="7"/>
        <v>133200.58499999999</v>
      </c>
      <c r="BD12" s="1">
        <f t="shared" si="7"/>
        <v>139543.47</v>
      </c>
      <c r="BE12" s="1">
        <f t="shared" si="7"/>
        <v>146471.15999999997</v>
      </c>
      <c r="BF12" s="1">
        <f t="shared" si="7"/>
        <v>154051.13249999998</v>
      </c>
      <c r="BG12" s="1">
        <f t="shared" si="7"/>
        <v>162305.88</v>
      </c>
      <c r="BH12" s="1">
        <f t="shared" si="7"/>
        <v>171325.3725</v>
      </c>
      <c r="BI12" s="1">
        <f t="shared" si="7"/>
        <v>181177.08749999999</v>
      </c>
      <c r="BJ12" s="1">
        <f t="shared" si="7"/>
        <v>191995.97999999998</v>
      </c>
    </row>
    <row r="13" spans="1:62" s="1" customFormat="1" x14ac:dyDescent="0.2">
      <c r="B13" s="1" t="s">
        <v>47</v>
      </c>
      <c r="C13" s="64">
        <v>285.68399999999997</v>
      </c>
      <c r="D13" s="64">
        <v>360.80799999999999</v>
      </c>
      <c r="E13" s="64">
        <v>472.16399999999993</v>
      </c>
      <c r="F13" s="64">
        <v>687.22500000000002</v>
      </c>
      <c r="G13" s="64">
        <v>9521.7569999999996</v>
      </c>
      <c r="H13" s="1">
        <f t="shared" ref="H13:AH13" si="8">(1-eCommerceMargin)*H6</f>
        <v>9793.3525200000004</v>
      </c>
      <c r="I13" s="1">
        <f t="shared" si="8"/>
        <v>10016.8140996</v>
      </c>
      <c r="J13" s="1">
        <f t="shared" si="8"/>
        <v>10245.296801376002</v>
      </c>
      <c r="K13" s="1">
        <f t="shared" si="8"/>
        <v>10507.621433762881</v>
      </c>
      <c r="L13" s="1">
        <f t="shared" si="8"/>
        <v>10747.057397581413</v>
      </c>
      <c r="M13" s="1">
        <f t="shared" si="8"/>
        <v>11021.736957225319</v>
      </c>
      <c r="N13" s="1">
        <f t="shared" si="8"/>
        <v>11272.638286332889</v>
      </c>
      <c r="O13" s="1">
        <f t="shared" si="8"/>
        <v>11560.242895584192</v>
      </c>
      <c r="P13" s="1">
        <f t="shared" si="8"/>
        <v>11854.842633891014</v>
      </c>
      <c r="Q13" s="1">
        <f t="shared" si="8"/>
        <v>12188.933653573396</v>
      </c>
      <c r="R13" s="1">
        <f t="shared" si="8"/>
        <v>12498.66836020797</v>
      </c>
      <c r="S13" s="1">
        <f t="shared" si="8"/>
        <v>12849.554458763676</v>
      </c>
      <c r="T13" s="1">
        <f t="shared" si="8"/>
        <v>13175.166205258003</v>
      </c>
      <c r="U13" s="1">
        <f t="shared" si="8"/>
        <v>13543.659135061311</v>
      </c>
      <c r="V13" s="1">
        <f t="shared" si="8"/>
        <v>13957.318181512024</v>
      </c>
      <c r="W13" s="1">
        <f t="shared" si="8"/>
        <v>14382.106126166736</v>
      </c>
      <c r="X13" s="1">
        <f t="shared" si="8"/>
        <v>14818.302661335036</v>
      </c>
      <c r="Y13" s="1">
        <f t="shared" si="8"/>
        <v>15266.1942154596</v>
      </c>
      <c r="Z13" s="1">
        <f t="shared" si="8"/>
        <v>15764.713113413563</v>
      </c>
      <c r="AA13" s="1">
        <f t="shared" si="8"/>
        <v>16277.066289599505</v>
      </c>
      <c r="AB13" s="1">
        <f t="shared" si="8"/>
        <v>16843.807726026724</v>
      </c>
      <c r="AC13" s="1">
        <f t="shared" si="8"/>
        <v>17467.712012203177</v>
      </c>
      <c r="AD13" s="1">
        <f t="shared" si="8"/>
        <v>18109.834946736282</v>
      </c>
      <c r="AE13" s="1">
        <f t="shared" si="8"/>
        <v>18813.316295013661</v>
      </c>
      <c r="AF13" s="1">
        <f t="shared" si="8"/>
        <v>19537.692963243437</v>
      </c>
      <c r="AG13" s="1">
        <f t="shared" si="8"/>
        <v>20372.287508978425</v>
      </c>
      <c r="AH13" s="1">
        <f t="shared" si="8"/>
        <v>21232.450759357514</v>
      </c>
      <c r="AI13" s="1">
        <f t="shared" ref="AI13:BJ13" si="9">(1-eCommerceMargin)*AI6</f>
        <v>22165.048809768527</v>
      </c>
      <c r="AJ13" s="1">
        <f t="shared" si="9"/>
        <v>23220.659259333755</v>
      </c>
      <c r="AK13" s="1">
        <f t="shared" si="9"/>
        <v>24309.628107357683</v>
      </c>
      <c r="AL13" s="1">
        <f t="shared" si="9"/>
        <v>25579.878240082064</v>
      </c>
      <c r="AM13" s="1">
        <f t="shared" si="9"/>
        <v>26891.214526872478</v>
      </c>
      <c r="AN13" s="1">
        <f t="shared" si="9"/>
        <v>28346.739000892045</v>
      </c>
      <c r="AO13" s="1">
        <f t="shared" si="9"/>
        <v>29953.733988856286</v>
      </c>
      <c r="AP13" s="1">
        <f t="shared" si="9"/>
        <v>31719.756221949276</v>
      </c>
      <c r="AQ13" s="1">
        <f t="shared" si="9"/>
        <v>33706.749646822551</v>
      </c>
      <c r="AR13" s="1">
        <f t="shared" si="9"/>
        <v>35815.720916859704</v>
      </c>
      <c r="AS13" s="1">
        <f t="shared" si="9"/>
        <v>38164.437530452225</v>
      </c>
      <c r="AT13" s="1">
        <f t="shared" si="9"/>
        <v>40822.438622174872</v>
      </c>
      <c r="AU13" s="1">
        <f t="shared" si="9"/>
        <v>43688.621654550356</v>
      </c>
      <c r="AV13" s="1">
        <f t="shared" si="9"/>
        <v>46892.063483644059</v>
      </c>
      <c r="AW13" s="1">
        <f t="shared" si="9"/>
        <v>50449.88679712922</v>
      </c>
      <c r="AX13" s="1">
        <f t="shared" si="9"/>
        <v>54379.859862847617</v>
      </c>
      <c r="AY13" s="1">
        <f t="shared" si="9"/>
        <v>58763.808793962213</v>
      </c>
      <c r="AZ13" s="1">
        <f t="shared" si="9"/>
        <v>63624.659773812295</v>
      </c>
      <c r="BA13" s="1">
        <f t="shared" si="9"/>
        <v>68986.201225483557</v>
      </c>
      <c r="BB13" s="1">
        <f t="shared" si="9"/>
        <v>75007.654544686855</v>
      </c>
      <c r="BC13" s="1">
        <f t="shared" si="9"/>
        <v>81722.68959101029</v>
      </c>
      <c r="BD13" s="1">
        <f t="shared" si="9"/>
        <v>89166.247413707853</v>
      </c>
      <c r="BE13" s="1">
        <f t="shared" si="9"/>
        <v>97517.359377132991</v>
      </c>
      <c r="BF13" s="1">
        <f t="shared" si="9"/>
        <v>106822.20024185884</v>
      </c>
      <c r="BG13" s="1">
        <f t="shared" si="9"/>
        <v>117202.95884204929</v>
      </c>
      <c r="BH13" s="1">
        <f t="shared" si="9"/>
        <v>128789.56313822146</v>
      </c>
      <c r="BI13" s="1">
        <f t="shared" si="9"/>
        <v>141720.03527729888</v>
      </c>
      <c r="BJ13" s="1">
        <f t="shared" si="9"/>
        <v>156219.67945365241</v>
      </c>
    </row>
    <row r="14" spans="1:62" s="3" customFormat="1" x14ac:dyDescent="0.2">
      <c r="A14" s="3" t="s">
        <v>49</v>
      </c>
      <c r="C14" s="69">
        <v>3080.2550000000001</v>
      </c>
      <c r="D14" s="69">
        <v>3245.5155</v>
      </c>
      <c r="E14" s="69">
        <v>3536.9149999999991</v>
      </c>
      <c r="F14" s="69">
        <v>3909.5089999999996</v>
      </c>
      <c r="G14" s="69">
        <v>16121.153999999999</v>
      </c>
      <c r="H14" s="12">
        <f t="shared" ref="H14:BJ14" si="10">SUM(H11:H13)</f>
        <v>19361.729817075073</v>
      </c>
      <c r="I14" s="12">
        <f t="shared" si="10"/>
        <v>22711.707812125074</v>
      </c>
      <c r="J14" s="12">
        <f t="shared" si="10"/>
        <v>25931.756220396077</v>
      </c>
      <c r="K14" s="12">
        <f t="shared" si="10"/>
        <v>29095.681238177458</v>
      </c>
      <c r="L14" s="12">
        <f t="shared" si="10"/>
        <v>32146.752948679939</v>
      </c>
      <c r="M14" s="12">
        <f t="shared" si="10"/>
        <v>35120.611685426193</v>
      </c>
      <c r="N14" s="12">
        <f t="shared" si="10"/>
        <v>37980.728665596333</v>
      </c>
      <c r="O14" s="12">
        <f t="shared" si="10"/>
        <v>40787.586171016475</v>
      </c>
      <c r="P14" s="12">
        <f t="shared" si="10"/>
        <v>43511.47680810903</v>
      </c>
      <c r="Q14" s="12">
        <f t="shared" si="10"/>
        <v>46207.390062455692</v>
      </c>
      <c r="R14" s="12">
        <f t="shared" si="10"/>
        <v>48788.986838720994</v>
      </c>
      <c r="S14" s="12">
        <f t="shared" si="10"/>
        <v>51344.2682676205</v>
      </c>
      <c r="T14" s="12">
        <f t="shared" si="10"/>
        <v>53806.809796742993</v>
      </c>
      <c r="U14" s="12">
        <f t="shared" si="10"/>
        <v>56289.753181437285</v>
      </c>
      <c r="V14" s="12">
        <f t="shared" si="10"/>
        <v>58750.399862018101</v>
      </c>
      <c r="W14" s="12">
        <f t="shared" si="10"/>
        <v>61177.206431215913</v>
      </c>
      <c r="X14" s="12">
        <f t="shared" si="10"/>
        <v>63570.454287631626</v>
      </c>
      <c r="Y14" s="12">
        <f t="shared" si="10"/>
        <v>65930.431645878329</v>
      </c>
      <c r="Z14" s="12">
        <f t="shared" si="10"/>
        <v>68318.565295616674</v>
      </c>
      <c r="AA14" s="12">
        <f t="shared" si="10"/>
        <v>70675.571915015404</v>
      </c>
      <c r="AB14" s="12">
        <f t="shared" si="10"/>
        <v>73064.500280976717</v>
      </c>
      <c r="AC14" s="12">
        <f t="shared" si="10"/>
        <v>75510.620180640661</v>
      </c>
      <c r="AD14" s="12">
        <f t="shared" si="10"/>
        <v>77974.99037176001</v>
      </c>
      <c r="AE14" s="12">
        <f t="shared" si="10"/>
        <v>80478.261284032254</v>
      </c>
      <c r="AF14" s="12">
        <f t="shared" si="10"/>
        <v>83002.465721906367</v>
      </c>
      <c r="AG14" s="12">
        <f t="shared" si="10"/>
        <v>85659.422654250142</v>
      </c>
      <c r="AH14" s="12">
        <f t="shared" si="10"/>
        <v>88364.487202398886</v>
      </c>
      <c r="AI14" s="12">
        <f t="shared" si="10"/>
        <v>91187.022594606548</v>
      </c>
      <c r="AJ14" s="12">
        <f t="shared" si="10"/>
        <v>94155.119108648069</v>
      </c>
      <c r="AK14" s="12">
        <f t="shared" si="10"/>
        <v>97201.620767095912</v>
      </c>
      <c r="AL14" s="12">
        <f t="shared" si="10"/>
        <v>100474.45670503662</v>
      </c>
      <c r="AM14" s="12">
        <f t="shared" si="10"/>
        <v>103878.42357481498</v>
      </c>
      <c r="AN14" s="12">
        <f t="shared" si="10"/>
        <v>107494.1385358713</v>
      </c>
      <c r="AO14" s="12">
        <f t="shared" si="10"/>
        <v>111351.38453982594</v>
      </c>
      <c r="AP14" s="12">
        <f t="shared" si="10"/>
        <v>115480.21992850839</v>
      </c>
      <c r="AQ14" s="12">
        <f t="shared" si="10"/>
        <v>119965.09116203006</v>
      </c>
      <c r="AR14" s="12">
        <f t="shared" si="10"/>
        <v>124707.01590033047</v>
      </c>
      <c r="AS14" s="12">
        <f t="shared" si="10"/>
        <v>129846.26615826256</v>
      </c>
      <c r="AT14" s="12">
        <f t="shared" si="10"/>
        <v>135474.88687100873</v>
      </c>
      <c r="AU14" s="12">
        <f t="shared" si="10"/>
        <v>141514.28262351011</v>
      </c>
      <c r="AV14" s="12">
        <f t="shared" si="10"/>
        <v>148116.03884824226</v>
      </c>
      <c r="AW14" s="12">
        <f t="shared" si="10"/>
        <v>155319.78840867974</v>
      </c>
      <c r="AX14" s="12">
        <f t="shared" si="10"/>
        <v>163165.8115077957</v>
      </c>
      <c r="AY14" s="12">
        <f t="shared" si="10"/>
        <v>171758.44812914758</v>
      </c>
      <c r="AZ14" s="12">
        <f t="shared" si="10"/>
        <v>181188.12545525871</v>
      </c>
      <c r="BA14" s="12">
        <f t="shared" si="10"/>
        <v>191501.1504150671</v>
      </c>
      <c r="BB14" s="12">
        <f t="shared" si="10"/>
        <v>202901.75782097125</v>
      </c>
      <c r="BC14" s="12">
        <f t="shared" si="10"/>
        <v>215468.63386516558</v>
      </c>
      <c r="BD14" s="12">
        <f t="shared" si="10"/>
        <v>229259.2465462712</v>
      </c>
      <c r="BE14" s="12">
        <f t="shared" si="10"/>
        <v>244542.63502394513</v>
      </c>
      <c r="BF14" s="12">
        <f t="shared" si="10"/>
        <v>261432.49337284471</v>
      </c>
      <c r="BG14" s="12">
        <f t="shared" si="10"/>
        <v>280073.54880712624</v>
      </c>
      <c r="BH14" s="12">
        <f t="shared" si="10"/>
        <v>300685.74956554861</v>
      </c>
      <c r="BI14" s="12">
        <f t="shared" si="10"/>
        <v>323474.65084035124</v>
      </c>
      <c r="BJ14" s="12">
        <f t="shared" si="10"/>
        <v>348800.57281025243</v>
      </c>
    </row>
    <row r="15" spans="1:62" x14ac:dyDescent="0.2">
      <c r="C15" s="63"/>
      <c r="D15" s="63"/>
      <c r="E15" s="63"/>
      <c r="F15" s="63"/>
      <c r="G15" s="63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  <row r="16" spans="1:62" s="3" customFormat="1" x14ac:dyDescent="0.2">
      <c r="A16" s="3" t="s">
        <v>50</v>
      </c>
      <c r="C16" s="71">
        <v>533.00874499999964</v>
      </c>
      <c r="D16" s="71">
        <v>695.87622400000009</v>
      </c>
      <c r="E16" s="71">
        <v>816.60477979999996</v>
      </c>
      <c r="F16" s="71">
        <v>1007.3489048000006</v>
      </c>
      <c r="G16" s="71">
        <v>6344.1420640000033</v>
      </c>
      <c r="H16" s="15">
        <f t="shared" ref="H16:BJ16" si="11">H8-H14</f>
        <v>7887.8013491457277</v>
      </c>
      <c r="I16" s="15">
        <f t="shared" si="11"/>
        <v>9487.0530026042543</v>
      </c>
      <c r="J16" s="15">
        <f t="shared" si="11"/>
        <v>11058.265903146268</v>
      </c>
      <c r="K16" s="15">
        <f t="shared" si="11"/>
        <v>12633.363681363437</v>
      </c>
      <c r="L16" s="15">
        <f t="shared" si="11"/>
        <v>14187.046433121744</v>
      </c>
      <c r="M16" s="15">
        <f t="shared" si="11"/>
        <v>15732.43456884937</v>
      </c>
      <c r="N16" s="15">
        <f t="shared" si="11"/>
        <v>17254.034945947322</v>
      </c>
      <c r="O16" s="15">
        <f t="shared" si="11"/>
        <v>18768.482191485782</v>
      </c>
      <c r="P16" s="15">
        <f t="shared" si="11"/>
        <v>20261.685000961035</v>
      </c>
      <c r="Q16" s="15">
        <f t="shared" si="11"/>
        <v>21762.889805543011</v>
      </c>
      <c r="R16" s="15">
        <f t="shared" si="11"/>
        <v>23232.382031031484</v>
      </c>
      <c r="S16" s="15">
        <f t="shared" si="11"/>
        <v>24698.282175428991</v>
      </c>
      <c r="T16" s="15">
        <f t="shared" si="11"/>
        <v>26140.882211019692</v>
      </c>
      <c r="U16" s="15">
        <f t="shared" si="11"/>
        <v>27611.969097623551</v>
      </c>
      <c r="V16" s="15">
        <f t="shared" si="11"/>
        <v>29088.47625126296</v>
      </c>
      <c r="W16" s="15">
        <f t="shared" si="11"/>
        <v>30566.85113477015</v>
      </c>
      <c r="X16" s="15">
        <f t="shared" si="11"/>
        <v>31805.373153509368</v>
      </c>
      <c r="Y16" s="15">
        <f t="shared" si="11"/>
        <v>33025.673207057305</v>
      </c>
      <c r="Z16" s="15">
        <f t="shared" si="11"/>
        <v>34256.50900773512</v>
      </c>
      <c r="AA16" s="15">
        <f t="shared" si="11"/>
        <v>35470.203381364292</v>
      </c>
      <c r="AB16" s="15">
        <f t="shared" si="11"/>
        <v>36696.221877280346</v>
      </c>
      <c r="AC16" s="15">
        <f t="shared" si="11"/>
        <v>37947.854543162262</v>
      </c>
      <c r="AD16" s="15">
        <f t="shared" si="11"/>
        <v>39208.526117738351</v>
      </c>
      <c r="AE16" s="15">
        <f t="shared" si="11"/>
        <v>40484.852163543168</v>
      </c>
      <c r="AF16" s="15">
        <f t="shared" si="11"/>
        <v>41771.619546235495</v>
      </c>
      <c r="AG16" s="15">
        <f t="shared" si="11"/>
        <v>43119.257512060853</v>
      </c>
      <c r="AH16" s="15">
        <f t="shared" si="11"/>
        <v>44491.654888320423</v>
      </c>
      <c r="AI16" s="15">
        <f t="shared" si="11"/>
        <v>45921.073362956944</v>
      </c>
      <c r="AJ16" s="15">
        <f t="shared" si="11"/>
        <v>47417.394499469898</v>
      </c>
      <c r="AK16" s="15">
        <f t="shared" si="11"/>
        <v>48954.406009827944</v>
      </c>
      <c r="AL16" s="15">
        <f t="shared" si="11"/>
        <v>50595.746496767402</v>
      </c>
      <c r="AM16" s="15">
        <f t="shared" si="11"/>
        <v>52305.588190765906</v>
      </c>
      <c r="AN16" s="15">
        <f t="shared" si="11"/>
        <v>54116.418339646407</v>
      </c>
      <c r="AO16" s="15">
        <f t="shared" si="11"/>
        <v>56043.669999372636</v>
      </c>
      <c r="AP16" s="15">
        <f t="shared" si="11"/>
        <v>58102.932173128152</v>
      </c>
      <c r="AQ16" s="15">
        <f t="shared" si="11"/>
        <v>60333.137790211098</v>
      </c>
      <c r="AR16" s="15">
        <f t="shared" si="11"/>
        <v>62692.289285667241</v>
      </c>
      <c r="AS16" s="15">
        <f t="shared" si="11"/>
        <v>65243.321884873294</v>
      </c>
      <c r="AT16" s="15">
        <f t="shared" si="11"/>
        <v>68028.551467712474</v>
      </c>
      <c r="AU16" s="15">
        <f t="shared" si="11"/>
        <v>71017.213187341549</v>
      </c>
      <c r="AV16" s="15">
        <f t="shared" si="11"/>
        <v>74277.247068718105</v>
      </c>
      <c r="AW16" s="15">
        <f t="shared" si="11"/>
        <v>77828.674995228153</v>
      </c>
      <c r="AX16" s="15">
        <f t="shared" si="11"/>
        <v>81691.863965414843</v>
      </c>
      <c r="AY16" s="15">
        <f t="shared" si="11"/>
        <v>85914.709621837828</v>
      </c>
      <c r="AZ16" s="15">
        <f t="shared" si="11"/>
        <v>90543.939589899033</v>
      </c>
      <c r="BA16" s="15">
        <f t="shared" si="11"/>
        <v>95602.756535721186</v>
      </c>
      <c r="BB16" s="15">
        <f t="shared" si="11"/>
        <v>101184.49560947128</v>
      </c>
      <c r="BC16" s="15">
        <f t="shared" si="11"/>
        <v>107328.79758936056</v>
      </c>
      <c r="BD16" s="15">
        <f t="shared" si="11"/>
        <v>114063.97329116019</v>
      </c>
      <c r="BE16" s="15">
        <f t="shared" si="11"/>
        <v>121516.20467976463</v>
      </c>
      <c r="BF16" s="15">
        <f t="shared" si="11"/>
        <v>129742.8955061473</v>
      </c>
      <c r="BG16" s="15">
        <f t="shared" si="11"/>
        <v>138810.19314522913</v>
      </c>
      <c r="BH16" s="15">
        <f t="shared" si="11"/>
        <v>148823.72083226382</v>
      </c>
      <c r="BI16" s="15">
        <f t="shared" si="11"/>
        <v>159880.77962872182</v>
      </c>
      <c r="BJ16" s="15">
        <f t="shared" si="11"/>
        <v>172152.27676616568</v>
      </c>
    </row>
    <row r="17" spans="1:62" x14ac:dyDescent="0.2">
      <c r="C17" s="65"/>
      <c r="D17" s="65"/>
      <c r="E17" s="65"/>
      <c r="F17" s="65"/>
      <c r="G17" s="65"/>
    </row>
    <row r="18" spans="1:62" x14ac:dyDescent="0.2">
      <c r="A18" t="s">
        <v>145</v>
      </c>
      <c r="C18" s="65"/>
      <c r="D18" s="65"/>
      <c r="E18" s="65"/>
      <c r="F18" s="65"/>
      <c r="G18" s="65"/>
    </row>
    <row r="19" spans="1:62" s="1" customFormat="1" x14ac:dyDescent="0.2">
      <c r="B19" s="1" t="s">
        <v>51</v>
      </c>
      <c r="C19" s="64">
        <v>200</v>
      </c>
      <c r="D19" s="64">
        <v>250</v>
      </c>
      <c r="E19" s="64">
        <v>376</v>
      </c>
      <c r="F19" s="64">
        <v>457</v>
      </c>
      <c r="G19" s="64">
        <v>9923</v>
      </c>
      <c r="H19" s="1">
        <f>'Traffic Detail'!H3</f>
        <v>10000</v>
      </c>
      <c r="I19" s="1">
        <f>'Traffic Detail'!I3</f>
        <v>10000</v>
      </c>
      <c r="J19" s="1">
        <f>'Traffic Detail'!J3</f>
        <v>10000</v>
      </c>
      <c r="K19" s="1">
        <f>'Traffic Detail'!K3</f>
        <v>10000</v>
      </c>
      <c r="L19" s="1">
        <f>'Traffic Detail'!L3</f>
        <v>10000</v>
      </c>
      <c r="M19" s="1">
        <f>'Traffic Detail'!M3</f>
        <v>10000</v>
      </c>
      <c r="N19" s="1">
        <f>'Traffic Detail'!N3</f>
        <v>10000</v>
      </c>
      <c r="O19" s="1">
        <f>'Traffic Detail'!O3</f>
        <v>10000</v>
      </c>
      <c r="P19" s="1">
        <f>'Traffic Detail'!P3</f>
        <v>10000</v>
      </c>
      <c r="Q19" s="1">
        <f>'Traffic Detail'!Q3</f>
        <v>10000</v>
      </c>
      <c r="R19" s="1">
        <f>'Traffic Detail'!R3</f>
        <v>10000</v>
      </c>
      <c r="S19" s="1">
        <f>'Traffic Detail'!S3</f>
        <v>10000</v>
      </c>
      <c r="T19" s="1">
        <f>'Traffic Detail'!T3</f>
        <v>10000</v>
      </c>
      <c r="U19" s="1">
        <f>'Traffic Detail'!U3</f>
        <v>10000</v>
      </c>
      <c r="V19" s="1">
        <f>'Traffic Detail'!V3</f>
        <v>10000</v>
      </c>
      <c r="W19" s="1">
        <f>'Traffic Detail'!W3</f>
        <v>10000</v>
      </c>
      <c r="X19" s="1">
        <f>'Traffic Detail'!X3</f>
        <v>10000</v>
      </c>
      <c r="Y19" s="1">
        <f>'Traffic Detail'!Y3</f>
        <v>10000</v>
      </c>
      <c r="Z19" s="1">
        <f>'Traffic Detail'!Z3</f>
        <v>10000</v>
      </c>
      <c r="AA19" s="1">
        <f>'Traffic Detail'!AA3</f>
        <v>10000</v>
      </c>
      <c r="AB19" s="1">
        <f>'Traffic Detail'!AB3</f>
        <v>10000</v>
      </c>
      <c r="AC19" s="1">
        <f>'Traffic Detail'!AC3</f>
        <v>10000</v>
      </c>
      <c r="AD19" s="1">
        <f>'Traffic Detail'!AD3</f>
        <v>10000</v>
      </c>
      <c r="AE19" s="1">
        <f>'Traffic Detail'!AE3</f>
        <v>10000</v>
      </c>
      <c r="AF19" s="1">
        <f>'Traffic Detail'!AF3</f>
        <v>10000</v>
      </c>
      <c r="AG19" s="1">
        <f>'Traffic Detail'!AG3</f>
        <v>10000</v>
      </c>
      <c r="AH19" s="1">
        <f>'Traffic Detail'!AH3</f>
        <v>10000</v>
      </c>
      <c r="AI19" s="1">
        <f>'Traffic Detail'!AI3</f>
        <v>10000</v>
      </c>
      <c r="AJ19" s="1">
        <f>'Traffic Detail'!AJ3</f>
        <v>10000</v>
      </c>
      <c r="AK19" s="1">
        <f>'Traffic Detail'!AK3</f>
        <v>10000</v>
      </c>
      <c r="AL19" s="1">
        <f>'Traffic Detail'!AL3</f>
        <v>10000</v>
      </c>
      <c r="AM19" s="1">
        <f>'Traffic Detail'!AM3</f>
        <v>10000</v>
      </c>
      <c r="AN19" s="1">
        <f>'Traffic Detail'!AN3</f>
        <v>10000</v>
      </c>
      <c r="AO19" s="1">
        <f>'Traffic Detail'!AO3</f>
        <v>10000</v>
      </c>
      <c r="AP19" s="1">
        <f>'Traffic Detail'!AP3</f>
        <v>10000</v>
      </c>
      <c r="AQ19" s="1">
        <f>'Traffic Detail'!AQ3</f>
        <v>10000</v>
      </c>
      <c r="AR19" s="1">
        <f>'Traffic Detail'!AR3</f>
        <v>10000</v>
      </c>
      <c r="AS19" s="1">
        <f>'Traffic Detail'!AS3</f>
        <v>10000</v>
      </c>
      <c r="AT19" s="1">
        <f>'Traffic Detail'!AT3</f>
        <v>10000</v>
      </c>
      <c r="AU19" s="1">
        <f>'Traffic Detail'!AU3</f>
        <v>10000</v>
      </c>
      <c r="AV19" s="1">
        <f>'Traffic Detail'!AV3</f>
        <v>10000</v>
      </c>
      <c r="AW19" s="1">
        <f>'Traffic Detail'!AW3</f>
        <v>10000</v>
      </c>
      <c r="AX19" s="1">
        <f>'Traffic Detail'!AX3</f>
        <v>10000</v>
      </c>
      <c r="AY19" s="1">
        <f>'Traffic Detail'!AY3</f>
        <v>10000</v>
      </c>
      <c r="AZ19" s="1">
        <f>'Traffic Detail'!AZ3</f>
        <v>10000</v>
      </c>
      <c r="BA19" s="1">
        <f>'Traffic Detail'!BA3</f>
        <v>10000</v>
      </c>
      <c r="BB19" s="1">
        <f>'Traffic Detail'!BB3</f>
        <v>10000</v>
      </c>
      <c r="BC19" s="1">
        <f>'Traffic Detail'!BC3</f>
        <v>10000</v>
      </c>
      <c r="BD19" s="1">
        <f>'Traffic Detail'!BD3</f>
        <v>10000</v>
      </c>
      <c r="BE19" s="1">
        <f>'Traffic Detail'!BE3</f>
        <v>10000</v>
      </c>
      <c r="BF19" s="1">
        <f>'Traffic Detail'!BF3</f>
        <v>10000</v>
      </c>
      <c r="BG19" s="1">
        <f>'Traffic Detail'!BG3</f>
        <v>10000</v>
      </c>
      <c r="BH19" s="1">
        <f>'Traffic Detail'!BH3</f>
        <v>10000</v>
      </c>
      <c r="BI19" s="1">
        <f>'Traffic Detail'!BI3</f>
        <v>10000</v>
      </c>
      <c r="BJ19" s="1">
        <f>'Traffic Detail'!BJ3</f>
        <v>10000</v>
      </c>
    </row>
    <row r="20" spans="1:62" s="1" customFormat="1" x14ac:dyDescent="0.2">
      <c r="B20" s="1" t="s">
        <v>52</v>
      </c>
      <c r="C20" s="64">
        <v>200</v>
      </c>
      <c r="D20" s="64">
        <v>250</v>
      </c>
      <c r="E20" s="64">
        <v>434</v>
      </c>
      <c r="F20" s="64">
        <v>452</v>
      </c>
      <c r="G20" s="64">
        <v>10163</v>
      </c>
      <c r="H20" s="1">
        <f>'Traffic Detail'!H7</f>
        <v>10000</v>
      </c>
      <c r="I20" s="1">
        <f>'Traffic Detail'!I7</f>
        <v>10000</v>
      </c>
      <c r="J20" s="1">
        <f>'Traffic Detail'!J7</f>
        <v>10000</v>
      </c>
      <c r="K20" s="1">
        <f>'Traffic Detail'!K7</f>
        <v>10000</v>
      </c>
      <c r="L20" s="1">
        <f>'Traffic Detail'!L7</f>
        <v>10000</v>
      </c>
      <c r="M20" s="1">
        <f>'Traffic Detail'!M7</f>
        <v>10000</v>
      </c>
      <c r="N20" s="1">
        <f>'Traffic Detail'!N7</f>
        <v>10000</v>
      </c>
      <c r="O20" s="1">
        <f>'Traffic Detail'!O7</f>
        <v>10000</v>
      </c>
      <c r="P20" s="1">
        <f>'Traffic Detail'!P7</f>
        <v>10000</v>
      </c>
      <c r="Q20" s="1">
        <f>'Traffic Detail'!Q7</f>
        <v>10000</v>
      </c>
      <c r="R20" s="1">
        <f>'Traffic Detail'!R7</f>
        <v>10000</v>
      </c>
      <c r="S20" s="1">
        <f>'Traffic Detail'!S7</f>
        <v>10000</v>
      </c>
      <c r="T20" s="1">
        <f>'Traffic Detail'!T7</f>
        <v>10000</v>
      </c>
      <c r="U20" s="1">
        <f>'Traffic Detail'!U7</f>
        <v>10000</v>
      </c>
      <c r="V20" s="1">
        <f>'Traffic Detail'!V7</f>
        <v>10000</v>
      </c>
      <c r="W20" s="1">
        <f>'Traffic Detail'!W7</f>
        <v>10000</v>
      </c>
      <c r="X20" s="1">
        <f>'Traffic Detail'!X7</f>
        <v>10000</v>
      </c>
      <c r="Y20" s="1">
        <f>'Traffic Detail'!Y7</f>
        <v>10000</v>
      </c>
      <c r="Z20" s="1">
        <f>'Traffic Detail'!Z7</f>
        <v>10000</v>
      </c>
      <c r="AA20" s="1">
        <f>'Traffic Detail'!AA7</f>
        <v>10000</v>
      </c>
      <c r="AB20" s="1">
        <f>'Traffic Detail'!AB7</f>
        <v>10000</v>
      </c>
      <c r="AC20" s="1">
        <f>'Traffic Detail'!AC7</f>
        <v>10000</v>
      </c>
      <c r="AD20" s="1">
        <f>'Traffic Detail'!AD7</f>
        <v>10000</v>
      </c>
      <c r="AE20" s="1">
        <f>'Traffic Detail'!AE7</f>
        <v>10000</v>
      </c>
      <c r="AF20" s="1">
        <f>'Traffic Detail'!AF7</f>
        <v>10000</v>
      </c>
      <c r="AG20" s="1">
        <f>'Traffic Detail'!AG7</f>
        <v>10000</v>
      </c>
      <c r="AH20" s="1">
        <f>'Traffic Detail'!AH7</f>
        <v>10000</v>
      </c>
      <c r="AI20" s="1">
        <f>'Traffic Detail'!AI7</f>
        <v>10000</v>
      </c>
      <c r="AJ20" s="1">
        <f>'Traffic Detail'!AJ7</f>
        <v>10000</v>
      </c>
      <c r="AK20" s="1">
        <f>'Traffic Detail'!AK7</f>
        <v>10000</v>
      </c>
      <c r="AL20" s="1">
        <f>'Traffic Detail'!AL7</f>
        <v>10000</v>
      </c>
      <c r="AM20" s="1">
        <f>'Traffic Detail'!AM7</f>
        <v>10000</v>
      </c>
      <c r="AN20" s="1">
        <f>'Traffic Detail'!AN7</f>
        <v>10000</v>
      </c>
      <c r="AO20" s="1">
        <f>'Traffic Detail'!AO7</f>
        <v>10000</v>
      </c>
      <c r="AP20" s="1">
        <f>'Traffic Detail'!AP7</f>
        <v>10000</v>
      </c>
      <c r="AQ20" s="1">
        <f>'Traffic Detail'!AQ7</f>
        <v>10000</v>
      </c>
      <c r="AR20" s="1">
        <f>'Traffic Detail'!AR7</f>
        <v>10000</v>
      </c>
      <c r="AS20" s="1">
        <f>'Traffic Detail'!AS7</f>
        <v>10000</v>
      </c>
      <c r="AT20" s="1">
        <f>'Traffic Detail'!AT7</f>
        <v>10000</v>
      </c>
      <c r="AU20" s="1">
        <f>'Traffic Detail'!AU7</f>
        <v>10000</v>
      </c>
      <c r="AV20" s="1">
        <f>'Traffic Detail'!AV7</f>
        <v>10000</v>
      </c>
      <c r="AW20" s="1">
        <f>'Traffic Detail'!AW7</f>
        <v>10000</v>
      </c>
      <c r="AX20" s="1">
        <f>'Traffic Detail'!AX7</f>
        <v>10000</v>
      </c>
      <c r="AY20" s="1">
        <f>'Traffic Detail'!AY7</f>
        <v>10000</v>
      </c>
      <c r="AZ20" s="1">
        <f>'Traffic Detail'!AZ7</f>
        <v>10000</v>
      </c>
      <c r="BA20" s="1">
        <f>'Traffic Detail'!BA7</f>
        <v>10000</v>
      </c>
      <c r="BB20" s="1">
        <f>'Traffic Detail'!BB7</f>
        <v>10000</v>
      </c>
      <c r="BC20" s="1">
        <f>'Traffic Detail'!BC7</f>
        <v>10000</v>
      </c>
      <c r="BD20" s="1">
        <f>'Traffic Detail'!BD7</f>
        <v>10000</v>
      </c>
      <c r="BE20" s="1">
        <f>'Traffic Detail'!BE7</f>
        <v>10000</v>
      </c>
      <c r="BF20" s="1">
        <f>'Traffic Detail'!BF7</f>
        <v>10000</v>
      </c>
      <c r="BG20" s="1">
        <f>'Traffic Detail'!BG7</f>
        <v>10000</v>
      </c>
      <c r="BH20" s="1">
        <f>'Traffic Detail'!BH7</f>
        <v>10000</v>
      </c>
      <c r="BI20" s="1">
        <f>'Traffic Detail'!BI7</f>
        <v>10000</v>
      </c>
      <c r="BJ20" s="1">
        <f>'Traffic Detail'!BJ7</f>
        <v>10000</v>
      </c>
    </row>
    <row r="21" spans="1:62" s="12" customFormat="1" x14ac:dyDescent="0.2">
      <c r="A21" s="12" t="s">
        <v>146</v>
      </c>
      <c r="C21" s="69">
        <v>400</v>
      </c>
      <c r="D21" s="69">
        <v>500</v>
      </c>
      <c r="E21" s="69">
        <v>810</v>
      </c>
      <c r="F21" s="69">
        <v>909</v>
      </c>
      <c r="G21" s="69">
        <v>20086</v>
      </c>
      <c r="H21" s="12">
        <f t="shared" ref="H21:BJ21" si="12">SUM(H19:H20)</f>
        <v>20000</v>
      </c>
      <c r="I21" s="12">
        <f t="shared" si="12"/>
        <v>20000</v>
      </c>
      <c r="J21" s="12">
        <f t="shared" si="12"/>
        <v>20000</v>
      </c>
      <c r="K21" s="12">
        <f t="shared" si="12"/>
        <v>20000</v>
      </c>
      <c r="L21" s="12">
        <f t="shared" si="12"/>
        <v>20000</v>
      </c>
      <c r="M21" s="12">
        <f t="shared" si="12"/>
        <v>20000</v>
      </c>
      <c r="N21" s="12">
        <f t="shared" si="12"/>
        <v>20000</v>
      </c>
      <c r="O21" s="12">
        <f t="shared" si="12"/>
        <v>20000</v>
      </c>
      <c r="P21" s="12">
        <f t="shared" si="12"/>
        <v>20000</v>
      </c>
      <c r="Q21" s="12">
        <f t="shared" si="12"/>
        <v>20000</v>
      </c>
      <c r="R21" s="12">
        <f t="shared" si="12"/>
        <v>20000</v>
      </c>
      <c r="S21" s="12">
        <f t="shared" si="12"/>
        <v>20000</v>
      </c>
      <c r="T21" s="12">
        <f t="shared" si="12"/>
        <v>20000</v>
      </c>
      <c r="U21" s="12">
        <f t="shared" si="12"/>
        <v>20000</v>
      </c>
      <c r="V21" s="12">
        <f t="shared" si="12"/>
        <v>20000</v>
      </c>
      <c r="W21" s="12">
        <f t="shared" si="12"/>
        <v>20000</v>
      </c>
      <c r="X21" s="12">
        <f t="shared" si="12"/>
        <v>20000</v>
      </c>
      <c r="Y21" s="12">
        <f t="shared" si="12"/>
        <v>20000</v>
      </c>
      <c r="Z21" s="12">
        <f t="shared" si="12"/>
        <v>20000</v>
      </c>
      <c r="AA21" s="12">
        <f t="shared" si="12"/>
        <v>20000</v>
      </c>
      <c r="AB21" s="12">
        <f t="shared" si="12"/>
        <v>20000</v>
      </c>
      <c r="AC21" s="12">
        <f t="shared" si="12"/>
        <v>20000</v>
      </c>
      <c r="AD21" s="12">
        <f t="shared" si="12"/>
        <v>20000</v>
      </c>
      <c r="AE21" s="12">
        <f t="shared" si="12"/>
        <v>20000</v>
      </c>
      <c r="AF21" s="12">
        <f t="shared" si="12"/>
        <v>20000</v>
      </c>
      <c r="AG21" s="12">
        <f t="shared" si="12"/>
        <v>20000</v>
      </c>
      <c r="AH21" s="12">
        <f t="shared" si="12"/>
        <v>20000</v>
      </c>
      <c r="AI21" s="12">
        <f t="shared" si="12"/>
        <v>20000</v>
      </c>
      <c r="AJ21" s="12">
        <f t="shared" si="12"/>
        <v>20000</v>
      </c>
      <c r="AK21" s="12">
        <f t="shared" si="12"/>
        <v>20000</v>
      </c>
      <c r="AL21" s="12">
        <f t="shared" si="12"/>
        <v>20000</v>
      </c>
      <c r="AM21" s="12">
        <f t="shared" si="12"/>
        <v>20000</v>
      </c>
      <c r="AN21" s="12">
        <f t="shared" si="12"/>
        <v>20000</v>
      </c>
      <c r="AO21" s="12">
        <f t="shared" si="12"/>
        <v>20000</v>
      </c>
      <c r="AP21" s="12">
        <f t="shared" si="12"/>
        <v>20000</v>
      </c>
      <c r="AQ21" s="12">
        <f t="shared" si="12"/>
        <v>20000</v>
      </c>
      <c r="AR21" s="12">
        <f t="shared" si="12"/>
        <v>20000</v>
      </c>
      <c r="AS21" s="12">
        <f t="shared" si="12"/>
        <v>20000</v>
      </c>
      <c r="AT21" s="12">
        <f t="shared" si="12"/>
        <v>20000</v>
      </c>
      <c r="AU21" s="12">
        <f t="shared" si="12"/>
        <v>20000</v>
      </c>
      <c r="AV21" s="12">
        <f t="shared" si="12"/>
        <v>20000</v>
      </c>
      <c r="AW21" s="12">
        <f t="shared" si="12"/>
        <v>20000</v>
      </c>
      <c r="AX21" s="12">
        <f t="shared" si="12"/>
        <v>20000</v>
      </c>
      <c r="AY21" s="12">
        <f t="shared" si="12"/>
        <v>20000</v>
      </c>
      <c r="AZ21" s="12">
        <f t="shared" si="12"/>
        <v>20000</v>
      </c>
      <c r="BA21" s="12">
        <f t="shared" si="12"/>
        <v>20000</v>
      </c>
      <c r="BB21" s="12">
        <f t="shared" si="12"/>
        <v>20000</v>
      </c>
      <c r="BC21" s="12">
        <f t="shared" si="12"/>
        <v>20000</v>
      </c>
      <c r="BD21" s="12">
        <f t="shared" si="12"/>
        <v>20000</v>
      </c>
      <c r="BE21" s="12">
        <f t="shared" si="12"/>
        <v>20000</v>
      </c>
      <c r="BF21" s="12">
        <f t="shared" si="12"/>
        <v>20000</v>
      </c>
      <c r="BG21" s="12">
        <f t="shared" si="12"/>
        <v>20000</v>
      </c>
      <c r="BH21" s="12">
        <f t="shared" si="12"/>
        <v>20000</v>
      </c>
      <c r="BI21" s="12">
        <f t="shared" si="12"/>
        <v>20000</v>
      </c>
      <c r="BJ21" s="12">
        <f t="shared" si="12"/>
        <v>20000</v>
      </c>
    </row>
    <row r="22" spans="1:62" x14ac:dyDescent="0.2">
      <c r="C22" s="65"/>
      <c r="D22" s="65"/>
      <c r="E22" s="65"/>
      <c r="F22" s="65"/>
      <c r="G22" s="65"/>
    </row>
    <row r="23" spans="1:62" s="3" customFormat="1" x14ac:dyDescent="0.2">
      <c r="A23" s="3" t="s">
        <v>181</v>
      </c>
      <c r="C23" s="71">
        <v>133.00874499999964</v>
      </c>
      <c r="D23" s="71">
        <v>195.87622400000009</v>
      </c>
      <c r="E23" s="71">
        <v>6.6047797999999602</v>
      </c>
      <c r="F23" s="71">
        <v>98.348904800000582</v>
      </c>
      <c r="G23" s="71">
        <v>-13741.857935999997</v>
      </c>
      <c r="H23" s="15">
        <f t="shared" ref="H23:BJ23" si="13">H16-H21</f>
        <v>-12112.198650854272</v>
      </c>
      <c r="I23" s="15">
        <f t="shared" si="13"/>
        <v>-10512.946997395746</v>
      </c>
      <c r="J23" s="15">
        <f t="shared" si="13"/>
        <v>-8941.7340968537319</v>
      </c>
      <c r="K23" s="15">
        <f t="shared" si="13"/>
        <v>-7366.6363186365634</v>
      </c>
      <c r="L23" s="15">
        <f t="shared" si="13"/>
        <v>-5812.9535668782555</v>
      </c>
      <c r="M23" s="15">
        <f t="shared" si="13"/>
        <v>-4267.5654311506296</v>
      </c>
      <c r="N23" s="15">
        <f t="shared" si="13"/>
        <v>-2745.9650540526782</v>
      </c>
      <c r="O23" s="15">
        <f t="shared" si="13"/>
        <v>-1231.5178085142179</v>
      </c>
      <c r="P23" s="15">
        <f t="shared" si="13"/>
        <v>261.68500096103526</v>
      </c>
      <c r="Q23" s="15">
        <f t="shared" si="13"/>
        <v>1762.8898055430109</v>
      </c>
      <c r="R23" s="15">
        <f t="shared" si="13"/>
        <v>3232.3820310314841</v>
      </c>
      <c r="S23" s="15">
        <f t="shared" si="13"/>
        <v>4698.2821754289907</v>
      </c>
      <c r="T23" s="15">
        <f t="shared" si="13"/>
        <v>6140.8822110196925</v>
      </c>
      <c r="U23" s="15">
        <f t="shared" si="13"/>
        <v>7611.9690976235506</v>
      </c>
      <c r="V23" s="15">
        <f t="shared" si="13"/>
        <v>9088.4762512629604</v>
      </c>
      <c r="W23" s="15">
        <f t="shared" si="13"/>
        <v>10566.85113477015</v>
      </c>
      <c r="X23" s="15">
        <f t="shared" si="13"/>
        <v>11805.373153509368</v>
      </c>
      <c r="Y23" s="15">
        <f t="shared" si="13"/>
        <v>13025.673207057305</v>
      </c>
      <c r="Z23" s="15">
        <f t="shared" si="13"/>
        <v>14256.50900773512</v>
      </c>
      <c r="AA23" s="15">
        <f t="shared" si="13"/>
        <v>15470.203381364292</v>
      </c>
      <c r="AB23" s="15">
        <f t="shared" si="13"/>
        <v>16696.221877280346</v>
      </c>
      <c r="AC23" s="15">
        <f t="shared" si="13"/>
        <v>17947.854543162262</v>
      </c>
      <c r="AD23" s="15">
        <f t="shared" si="13"/>
        <v>19208.526117738351</v>
      </c>
      <c r="AE23" s="15">
        <f t="shared" si="13"/>
        <v>20484.852163543168</v>
      </c>
      <c r="AF23" s="15">
        <f t="shared" si="13"/>
        <v>21771.619546235495</v>
      </c>
      <c r="AG23" s="15">
        <f t="shared" si="13"/>
        <v>23119.257512060853</v>
      </c>
      <c r="AH23" s="15">
        <f t="shared" si="13"/>
        <v>24491.654888320423</v>
      </c>
      <c r="AI23" s="15">
        <f t="shared" si="13"/>
        <v>25921.073362956944</v>
      </c>
      <c r="AJ23" s="15">
        <f t="shared" si="13"/>
        <v>27417.394499469898</v>
      </c>
      <c r="AK23" s="15">
        <f t="shared" si="13"/>
        <v>28954.406009827944</v>
      </c>
      <c r="AL23" s="15">
        <f t="shared" si="13"/>
        <v>30595.746496767402</v>
      </c>
      <c r="AM23" s="15">
        <f t="shared" si="13"/>
        <v>32305.588190765906</v>
      </c>
      <c r="AN23" s="15">
        <f t="shared" si="13"/>
        <v>34116.418339646407</v>
      </c>
      <c r="AO23" s="15">
        <f t="shared" si="13"/>
        <v>36043.669999372636</v>
      </c>
      <c r="AP23" s="15">
        <f t="shared" si="13"/>
        <v>38102.932173128152</v>
      </c>
      <c r="AQ23" s="15">
        <f t="shared" si="13"/>
        <v>40333.137790211098</v>
      </c>
      <c r="AR23" s="15">
        <f t="shared" si="13"/>
        <v>42692.289285667241</v>
      </c>
      <c r="AS23" s="15">
        <f t="shared" si="13"/>
        <v>45243.321884873294</v>
      </c>
      <c r="AT23" s="15">
        <f t="shared" si="13"/>
        <v>48028.551467712474</v>
      </c>
      <c r="AU23" s="15">
        <f t="shared" si="13"/>
        <v>51017.213187341549</v>
      </c>
      <c r="AV23" s="15">
        <f t="shared" si="13"/>
        <v>54277.247068718105</v>
      </c>
      <c r="AW23" s="15">
        <f t="shared" si="13"/>
        <v>57828.674995228153</v>
      </c>
      <c r="AX23" s="15">
        <f t="shared" si="13"/>
        <v>61691.863965414843</v>
      </c>
      <c r="AY23" s="15">
        <f t="shared" si="13"/>
        <v>65914.709621837828</v>
      </c>
      <c r="AZ23" s="15">
        <f t="shared" si="13"/>
        <v>70543.939589899033</v>
      </c>
      <c r="BA23" s="15">
        <f t="shared" si="13"/>
        <v>75602.756535721186</v>
      </c>
      <c r="BB23" s="15">
        <f t="shared" si="13"/>
        <v>81184.495609471283</v>
      </c>
      <c r="BC23" s="15">
        <f t="shared" si="13"/>
        <v>87328.797589360562</v>
      </c>
      <c r="BD23" s="15">
        <f t="shared" si="13"/>
        <v>94063.97329116019</v>
      </c>
      <c r="BE23" s="15">
        <f t="shared" si="13"/>
        <v>101516.20467976463</v>
      </c>
      <c r="BF23" s="15">
        <f t="shared" si="13"/>
        <v>109742.8955061473</v>
      </c>
      <c r="BG23" s="15">
        <f t="shared" si="13"/>
        <v>118810.19314522913</v>
      </c>
      <c r="BH23" s="15">
        <f t="shared" si="13"/>
        <v>128823.72083226382</v>
      </c>
      <c r="BI23" s="15">
        <f t="shared" si="13"/>
        <v>139880.77962872182</v>
      </c>
      <c r="BJ23" s="15">
        <f t="shared" si="13"/>
        <v>152152.27676616568</v>
      </c>
    </row>
    <row r="24" spans="1:62" x14ac:dyDescent="0.2">
      <c r="C24" s="65"/>
      <c r="D24" s="65"/>
      <c r="E24" s="65"/>
      <c r="F24" s="65"/>
      <c r="G24" s="65"/>
    </row>
    <row r="25" spans="1:62" x14ac:dyDescent="0.2">
      <c r="A25" t="s">
        <v>53</v>
      </c>
      <c r="C25" s="65"/>
      <c r="D25" s="65"/>
      <c r="E25" s="65"/>
      <c r="F25" s="65"/>
      <c r="G25" s="65"/>
    </row>
    <row r="26" spans="1:62" x14ac:dyDescent="0.2">
      <c r="B26" t="s">
        <v>54</v>
      </c>
      <c r="C26" s="64">
        <v>35416.666666666672</v>
      </c>
      <c r="D26" s="64">
        <v>35416.666666666672</v>
      </c>
      <c r="E26" s="64">
        <v>51041.666666666672</v>
      </c>
      <c r="F26" s="64">
        <v>61458.333333333343</v>
      </c>
      <c r="G26" s="64">
        <v>61458.333333333343</v>
      </c>
      <c r="H26" s="1">
        <f>Employees!H30</f>
        <v>61458.333333333343</v>
      </c>
      <c r="I26" s="1">
        <f>Employees!I30</f>
        <v>61458.333333333343</v>
      </c>
      <c r="J26" s="1">
        <f>Employees!J30</f>
        <v>61458.333333333343</v>
      </c>
      <c r="K26" s="1">
        <f>Employees!K30</f>
        <v>61458.333333333343</v>
      </c>
      <c r="L26" s="1">
        <f>Employees!L30</f>
        <v>61458.333333333343</v>
      </c>
      <c r="M26" s="1">
        <f>Employees!M30</f>
        <v>61458.333333333343</v>
      </c>
      <c r="N26" s="1">
        <f>Employees!N30</f>
        <v>61458.333333333343</v>
      </c>
      <c r="O26" s="1">
        <f>Employees!O30</f>
        <v>71875</v>
      </c>
      <c r="P26" s="1">
        <f>Employees!P30</f>
        <v>71875</v>
      </c>
      <c r="Q26" s="1">
        <f>Employees!Q30</f>
        <v>71875</v>
      </c>
      <c r="R26" s="1">
        <f>Employees!R30</f>
        <v>71875</v>
      </c>
      <c r="S26" s="1">
        <f>Employees!S30</f>
        <v>71875</v>
      </c>
      <c r="T26" s="1">
        <f>Employees!T30</f>
        <v>71875</v>
      </c>
      <c r="U26" s="1">
        <f>Employees!U30</f>
        <v>71875</v>
      </c>
      <c r="V26" s="1">
        <f>Employees!V30</f>
        <v>71875</v>
      </c>
      <c r="W26" s="1">
        <f>Employees!W30</f>
        <v>71875</v>
      </c>
      <c r="X26" s="1">
        <f>Employees!X30</f>
        <v>76041.666666666672</v>
      </c>
      <c r="Y26" s="1">
        <f>Employees!Y30</f>
        <v>76041.666666666672</v>
      </c>
      <c r="Z26" s="1">
        <f>Employees!Z30</f>
        <v>76041.666666666672</v>
      </c>
      <c r="AA26" s="1">
        <f>Employees!AA30</f>
        <v>76041.666666666672</v>
      </c>
      <c r="AB26" s="1">
        <f>Employees!AB30</f>
        <v>76041.666666666672</v>
      </c>
      <c r="AC26" s="1">
        <f>Employees!AC30</f>
        <v>76041.666666666672</v>
      </c>
      <c r="AD26" s="1">
        <f>Employees!AD30</f>
        <v>76041.666666666672</v>
      </c>
      <c r="AE26" s="1">
        <f>Employees!AE30</f>
        <v>76041.666666666672</v>
      </c>
      <c r="AF26" s="1">
        <f>Employees!AF30</f>
        <v>76041.666666666672</v>
      </c>
      <c r="AG26" s="1">
        <f>Employees!AG30</f>
        <v>76041.666666666672</v>
      </c>
      <c r="AH26" s="1">
        <f>Employees!AH30</f>
        <v>76041.666666666672</v>
      </c>
      <c r="AI26" s="1">
        <f>Employees!AI30</f>
        <v>76041.666666666672</v>
      </c>
      <c r="AJ26" s="1">
        <f>Employees!AJ30</f>
        <v>76041.666666666672</v>
      </c>
      <c r="AK26" s="1">
        <f>Employees!AK30</f>
        <v>76041.666666666672</v>
      </c>
      <c r="AL26" s="1">
        <f>Employees!AL30</f>
        <v>76041.666666666672</v>
      </c>
      <c r="AM26" s="1">
        <f>Employees!AM30</f>
        <v>76041.666666666672</v>
      </c>
      <c r="AN26" s="1">
        <f>Employees!AN30</f>
        <v>76041.666666666672</v>
      </c>
      <c r="AO26" s="1">
        <f>Employees!AO30</f>
        <v>76041.666666666672</v>
      </c>
      <c r="AP26" s="1">
        <f>Employees!AP30</f>
        <v>76041.666666666672</v>
      </c>
      <c r="AQ26" s="1">
        <f>Employees!AQ30</f>
        <v>76041.666666666672</v>
      </c>
      <c r="AR26" s="1">
        <f>Employees!AR30</f>
        <v>76041.666666666672</v>
      </c>
      <c r="AS26" s="1">
        <f>Employees!AS30</f>
        <v>76041.666666666672</v>
      </c>
      <c r="AT26" s="1">
        <f>Employees!AT30</f>
        <v>76041.666666666672</v>
      </c>
      <c r="AU26" s="1">
        <f>Employees!AU30</f>
        <v>76041.666666666672</v>
      </c>
      <c r="AV26" s="1">
        <f>Employees!AV30</f>
        <v>76041.666666666672</v>
      </c>
      <c r="AW26" s="1">
        <f>Employees!AW30</f>
        <v>76041.666666666672</v>
      </c>
      <c r="AX26" s="1">
        <f>Employees!AX30</f>
        <v>76041.666666666672</v>
      </c>
      <c r="AY26" s="1">
        <f>Employees!AY30</f>
        <v>76041.666666666672</v>
      </c>
      <c r="AZ26" s="1">
        <f>Employees!AZ30</f>
        <v>76041.666666666672</v>
      </c>
      <c r="BA26" s="1">
        <f>Employees!BA30</f>
        <v>76041.666666666672</v>
      </c>
      <c r="BB26" s="1">
        <f>Employees!BB30</f>
        <v>76041.666666666672</v>
      </c>
      <c r="BC26" s="1">
        <f>Employees!BC30</f>
        <v>76041.666666666672</v>
      </c>
      <c r="BD26" s="1">
        <f>Employees!BD30</f>
        <v>76041.666666666672</v>
      </c>
      <c r="BE26" s="1">
        <f>Employees!BE30</f>
        <v>80208.333333333328</v>
      </c>
      <c r="BF26" s="1">
        <f>Employees!BF30</f>
        <v>80208.333333333328</v>
      </c>
      <c r="BG26" s="1">
        <f>Employees!BG30</f>
        <v>80208.333333333328</v>
      </c>
      <c r="BH26" s="1">
        <f>Employees!BH30</f>
        <v>80208.333333333328</v>
      </c>
      <c r="BI26" s="1">
        <f>Employees!BI30</f>
        <v>80208.333333333328</v>
      </c>
      <c r="BJ26" s="1">
        <f>Employees!BJ30</f>
        <v>80208.333333333328</v>
      </c>
    </row>
    <row r="27" spans="1:62" x14ac:dyDescent="0.2">
      <c r="B27" t="s">
        <v>55</v>
      </c>
      <c r="C27" s="64">
        <v>2000</v>
      </c>
      <c r="D27" s="64">
        <v>2000</v>
      </c>
      <c r="E27" s="64">
        <v>3000</v>
      </c>
      <c r="F27" s="64">
        <v>3500</v>
      </c>
      <c r="G27" s="64">
        <v>3500</v>
      </c>
      <c r="H27" s="1">
        <f>RentPerEmployee*Employees!H14</f>
        <v>3500</v>
      </c>
      <c r="I27" s="1">
        <f>RentPerEmployee*Employees!I14</f>
        <v>3500</v>
      </c>
      <c r="J27" s="1">
        <f>RentPerEmployee*Employees!J14</f>
        <v>3500</v>
      </c>
      <c r="K27" s="1">
        <f>RentPerEmployee*Employees!K14</f>
        <v>3500</v>
      </c>
      <c r="L27" s="1">
        <f>RentPerEmployee*Employees!L14</f>
        <v>3500</v>
      </c>
      <c r="M27" s="1">
        <f>RentPerEmployee*Employees!M14</f>
        <v>3500</v>
      </c>
      <c r="N27" s="1">
        <f>RentPerEmployee*Employees!N14</f>
        <v>3500</v>
      </c>
      <c r="O27" s="1">
        <f>RentPerEmployee*Employees!O14</f>
        <v>4000</v>
      </c>
      <c r="P27" s="1">
        <f>RentPerEmployee*Employees!P14</f>
        <v>4000</v>
      </c>
      <c r="Q27" s="1">
        <f>RentPerEmployee*Employees!Q14</f>
        <v>4000</v>
      </c>
      <c r="R27" s="1">
        <f>RentPerEmployee*Employees!R14</f>
        <v>4000</v>
      </c>
      <c r="S27" s="1">
        <f>RentPerEmployee*Employees!S14</f>
        <v>4000</v>
      </c>
      <c r="T27" s="1">
        <f>RentPerEmployee*Employees!T14</f>
        <v>4000</v>
      </c>
      <c r="U27" s="1">
        <f>RentPerEmployee*Employees!U14</f>
        <v>4000</v>
      </c>
      <c r="V27" s="1">
        <f>RentPerEmployee*Employees!V14</f>
        <v>4000</v>
      </c>
      <c r="W27" s="1">
        <f>RentPerEmployee*Employees!W14</f>
        <v>4000</v>
      </c>
      <c r="X27" s="1">
        <f>RentPerEmployee*Employees!X14</f>
        <v>4500</v>
      </c>
      <c r="Y27" s="1">
        <f>RentPerEmployee*Employees!Y14</f>
        <v>4500</v>
      </c>
      <c r="Z27" s="1">
        <f>RentPerEmployee*Employees!Z14</f>
        <v>4500</v>
      </c>
      <c r="AA27" s="1">
        <f>RentPerEmployee*Employees!AA14</f>
        <v>4500</v>
      </c>
      <c r="AB27" s="1">
        <f>RentPerEmployee*Employees!AB14</f>
        <v>4500</v>
      </c>
      <c r="AC27" s="1">
        <f>RentPerEmployee*Employees!AC14</f>
        <v>4500</v>
      </c>
      <c r="AD27" s="1">
        <f>RentPerEmployee*Employees!AD14</f>
        <v>4500</v>
      </c>
      <c r="AE27" s="1">
        <f>RentPerEmployee*Employees!AE14</f>
        <v>4500</v>
      </c>
      <c r="AF27" s="1">
        <f>RentPerEmployee*Employees!AF14</f>
        <v>4500</v>
      </c>
      <c r="AG27" s="1">
        <f>RentPerEmployee*Employees!AG14</f>
        <v>4500</v>
      </c>
      <c r="AH27" s="1">
        <f>RentPerEmployee*Employees!AH14</f>
        <v>4500</v>
      </c>
      <c r="AI27" s="1">
        <f>RentPerEmployee*Employees!AI14</f>
        <v>4500</v>
      </c>
      <c r="AJ27" s="1">
        <f>RentPerEmployee*Employees!AJ14</f>
        <v>4500</v>
      </c>
      <c r="AK27" s="1">
        <f>RentPerEmployee*Employees!AK14</f>
        <v>4500</v>
      </c>
      <c r="AL27" s="1">
        <f>RentPerEmployee*Employees!AL14</f>
        <v>4500</v>
      </c>
      <c r="AM27" s="1">
        <f>RentPerEmployee*Employees!AM14</f>
        <v>4500</v>
      </c>
      <c r="AN27" s="1">
        <f>RentPerEmployee*Employees!AN14</f>
        <v>4500</v>
      </c>
      <c r="AO27" s="1">
        <f>RentPerEmployee*Employees!AO14</f>
        <v>4500</v>
      </c>
      <c r="AP27" s="1">
        <f>RentPerEmployee*Employees!AP14</f>
        <v>4500</v>
      </c>
      <c r="AQ27" s="1">
        <f>RentPerEmployee*Employees!AQ14</f>
        <v>4500</v>
      </c>
      <c r="AR27" s="1">
        <f>RentPerEmployee*Employees!AR14</f>
        <v>4500</v>
      </c>
      <c r="AS27" s="1">
        <f>RentPerEmployee*Employees!AS14</f>
        <v>4500</v>
      </c>
      <c r="AT27" s="1">
        <f>RentPerEmployee*Employees!AT14</f>
        <v>4500</v>
      </c>
      <c r="AU27" s="1">
        <f>RentPerEmployee*Employees!AU14</f>
        <v>4500</v>
      </c>
      <c r="AV27" s="1">
        <f>RentPerEmployee*Employees!AV14</f>
        <v>4500</v>
      </c>
      <c r="AW27" s="1">
        <f>RentPerEmployee*Employees!AW14</f>
        <v>4500</v>
      </c>
      <c r="AX27" s="1">
        <f>RentPerEmployee*Employees!AX14</f>
        <v>4500</v>
      </c>
      <c r="AY27" s="1">
        <f>RentPerEmployee*Employees!AY14</f>
        <v>4500</v>
      </c>
      <c r="AZ27" s="1">
        <f>RentPerEmployee*Employees!AZ14</f>
        <v>4500</v>
      </c>
      <c r="BA27" s="1">
        <f>RentPerEmployee*Employees!BA14</f>
        <v>4500</v>
      </c>
      <c r="BB27" s="1">
        <f>RentPerEmployee*Employees!BB14</f>
        <v>4500</v>
      </c>
      <c r="BC27" s="1">
        <f>RentPerEmployee*Employees!BC14</f>
        <v>4500</v>
      </c>
      <c r="BD27" s="1">
        <f>RentPerEmployee*Employees!BD14</f>
        <v>4500</v>
      </c>
      <c r="BE27" s="1">
        <f>RentPerEmployee*Employees!BE14</f>
        <v>5000</v>
      </c>
      <c r="BF27" s="1">
        <f>RentPerEmployee*Employees!BF14</f>
        <v>5000</v>
      </c>
      <c r="BG27" s="1">
        <f>RentPerEmployee*Employees!BG14</f>
        <v>5000</v>
      </c>
      <c r="BH27" s="1">
        <f>RentPerEmployee*Employees!BH14</f>
        <v>5000</v>
      </c>
      <c r="BI27" s="1">
        <f>RentPerEmployee*Employees!BI14</f>
        <v>5000</v>
      </c>
      <c r="BJ27" s="1">
        <f>RentPerEmployee*Employees!BJ14</f>
        <v>5000</v>
      </c>
    </row>
    <row r="28" spans="1:62" x14ac:dyDescent="0.2">
      <c r="B28" t="s">
        <v>58</v>
      </c>
      <c r="C28" s="64">
        <v>400</v>
      </c>
      <c r="D28" s="64">
        <v>400</v>
      </c>
      <c r="E28" s="64">
        <v>600</v>
      </c>
      <c r="F28" s="64">
        <v>700</v>
      </c>
      <c r="G28" s="64">
        <v>700</v>
      </c>
      <c r="H28" s="1">
        <f>TechCostPerEmployeePerMonth*Employees!H14</f>
        <v>700</v>
      </c>
      <c r="I28" s="1">
        <f>TechCostPerEmployeePerMonth*Employees!I14</f>
        <v>700</v>
      </c>
      <c r="J28" s="1">
        <f>TechCostPerEmployeePerMonth*Employees!J14</f>
        <v>700</v>
      </c>
      <c r="K28" s="1">
        <f>TechCostPerEmployeePerMonth*Employees!K14</f>
        <v>700</v>
      </c>
      <c r="L28" s="1">
        <f>TechCostPerEmployeePerMonth*Employees!L14</f>
        <v>700</v>
      </c>
      <c r="M28" s="1">
        <f>TechCostPerEmployeePerMonth*Employees!M14</f>
        <v>700</v>
      </c>
      <c r="N28" s="1">
        <f>TechCostPerEmployeePerMonth*Employees!N14</f>
        <v>700</v>
      </c>
      <c r="O28" s="1">
        <f>TechCostPerEmployeePerMonth*Employees!O14</f>
        <v>800</v>
      </c>
      <c r="P28" s="1">
        <f>TechCostPerEmployeePerMonth*Employees!P14</f>
        <v>800</v>
      </c>
      <c r="Q28" s="1">
        <f>TechCostPerEmployeePerMonth*Employees!Q14</f>
        <v>800</v>
      </c>
      <c r="R28" s="1">
        <f>TechCostPerEmployeePerMonth*Employees!R14</f>
        <v>800</v>
      </c>
      <c r="S28" s="1">
        <f>TechCostPerEmployeePerMonth*Employees!S14</f>
        <v>800</v>
      </c>
      <c r="T28" s="1">
        <f>TechCostPerEmployeePerMonth*Employees!T14</f>
        <v>800</v>
      </c>
      <c r="U28" s="1">
        <f>TechCostPerEmployeePerMonth*Employees!U14</f>
        <v>800</v>
      </c>
      <c r="V28" s="1">
        <f>TechCostPerEmployeePerMonth*Employees!V14</f>
        <v>800</v>
      </c>
      <c r="W28" s="1">
        <f>TechCostPerEmployeePerMonth*Employees!W14</f>
        <v>800</v>
      </c>
      <c r="X28" s="1">
        <f>TechCostPerEmployeePerMonth*Employees!X14</f>
        <v>900</v>
      </c>
      <c r="Y28" s="1">
        <f>TechCostPerEmployeePerMonth*Employees!Y14</f>
        <v>900</v>
      </c>
      <c r="Z28" s="1">
        <f>TechCostPerEmployeePerMonth*Employees!Z14</f>
        <v>900</v>
      </c>
      <c r="AA28" s="1">
        <f>TechCostPerEmployeePerMonth*Employees!AA14</f>
        <v>900</v>
      </c>
      <c r="AB28" s="1">
        <f>TechCostPerEmployeePerMonth*Employees!AB14</f>
        <v>900</v>
      </c>
      <c r="AC28" s="1">
        <f>TechCostPerEmployeePerMonth*Employees!AC14</f>
        <v>900</v>
      </c>
      <c r="AD28" s="1">
        <f>TechCostPerEmployeePerMonth*Employees!AD14</f>
        <v>900</v>
      </c>
      <c r="AE28" s="1">
        <f>TechCostPerEmployeePerMonth*Employees!AE14</f>
        <v>900</v>
      </c>
      <c r="AF28" s="1">
        <f>TechCostPerEmployeePerMonth*Employees!AF14</f>
        <v>900</v>
      </c>
      <c r="AG28" s="1">
        <f>TechCostPerEmployeePerMonth*Employees!AG14</f>
        <v>900</v>
      </c>
      <c r="AH28" s="1">
        <f>TechCostPerEmployeePerMonth*Employees!AH14</f>
        <v>900</v>
      </c>
      <c r="AI28" s="1">
        <f>TechCostPerEmployeePerMonth*Employees!AI14</f>
        <v>900</v>
      </c>
      <c r="AJ28" s="1">
        <f>TechCostPerEmployeePerMonth*Employees!AJ14</f>
        <v>900</v>
      </c>
      <c r="AK28" s="1">
        <f>TechCostPerEmployeePerMonth*Employees!AK14</f>
        <v>900</v>
      </c>
      <c r="AL28" s="1">
        <f>TechCostPerEmployeePerMonth*Employees!AL14</f>
        <v>900</v>
      </c>
      <c r="AM28" s="1">
        <f>TechCostPerEmployeePerMonth*Employees!AM14</f>
        <v>900</v>
      </c>
      <c r="AN28" s="1">
        <f>TechCostPerEmployeePerMonth*Employees!AN14</f>
        <v>900</v>
      </c>
      <c r="AO28" s="1">
        <f>TechCostPerEmployeePerMonth*Employees!AO14</f>
        <v>900</v>
      </c>
      <c r="AP28" s="1">
        <f>TechCostPerEmployeePerMonth*Employees!AP14</f>
        <v>900</v>
      </c>
      <c r="AQ28" s="1">
        <f>TechCostPerEmployeePerMonth*Employees!AQ14</f>
        <v>900</v>
      </c>
      <c r="AR28" s="1">
        <f>TechCostPerEmployeePerMonth*Employees!AR14</f>
        <v>900</v>
      </c>
      <c r="AS28" s="1">
        <f>TechCostPerEmployeePerMonth*Employees!AS14</f>
        <v>900</v>
      </c>
      <c r="AT28" s="1">
        <f>TechCostPerEmployeePerMonth*Employees!AT14</f>
        <v>900</v>
      </c>
      <c r="AU28" s="1">
        <f>TechCostPerEmployeePerMonth*Employees!AU14</f>
        <v>900</v>
      </c>
      <c r="AV28" s="1">
        <f>TechCostPerEmployeePerMonth*Employees!AV14</f>
        <v>900</v>
      </c>
      <c r="AW28" s="1">
        <f>TechCostPerEmployeePerMonth*Employees!AW14</f>
        <v>900</v>
      </c>
      <c r="AX28" s="1">
        <f>TechCostPerEmployeePerMonth*Employees!AX14</f>
        <v>900</v>
      </c>
      <c r="AY28" s="1">
        <f>TechCostPerEmployeePerMonth*Employees!AY14</f>
        <v>900</v>
      </c>
      <c r="AZ28" s="1">
        <f>TechCostPerEmployeePerMonth*Employees!AZ14</f>
        <v>900</v>
      </c>
      <c r="BA28" s="1">
        <f>TechCostPerEmployeePerMonth*Employees!BA14</f>
        <v>900</v>
      </c>
      <c r="BB28" s="1">
        <f>TechCostPerEmployeePerMonth*Employees!BB14</f>
        <v>900</v>
      </c>
      <c r="BC28" s="1">
        <f>TechCostPerEmployeePerMonth*Employees!BC14</f>
        <v>900</v>
      </c>
      <c r="BD28" s="1">
        <f>TechCostPerEmployeePerMonth*Employees!BD14</f>
        <v>900</v>
      </c>
      <c r="BE28" s="1">
        <f>TechCostPerEmployeePerMonth*Employees!BE14</f>
        <v>1000</v>
      </c>
      <c r="BF28" s="1">
        <f>TechCostPerEmployeePerMonth*Employees!BF14</f>
        <v>1000</v>
      </c>
      <c r="BG28" s="1">
        <f>TechCostPerEmployeePerMonth*Employees!BG14</f>
        <v>1000</v>
      </c>
      <c r="BH28" s="1">
        <f>TechCostPerEmployeePerMonth*Employees!BH14</f>
        <v>1000</v>
      </c>
      <c r="BI28" s="1">
        <f>TechCostPerEmployeePerMonth*Employees!BI14</f>
        <v>1000</v>
      </c>
      <c r="BJ28" s="1">
        <f>TechCostPerEmployeePerMonth*Employees!BJ14</f>
        <v>1000</v>
      </c>
    </row>
    <row r="29" spans="1:62" x14ac:dyDescent="0.2">
      <c r="B29" t="s">
        <v>59</v>
      </c>
      <c r="C29" s="64">
        <v>500</v>
      </c>
      <c r="D29" s="64">
        <v>500</v>
      </c>
      <c r="E29" s="64">
        <v>500</v>
      </c>
      <c r="F29" s="64">
        <v>500</v>
      </c>
      <c r="G29" s="64">
        <v>500</v>
      </c>
      <c r="H29" s="1">
        <f t="shared" ref="H29:AH29" si="14">LegalAndAccountingCostPerMonth</f>
        <v>500</v>
      </c>
      <c r="I29" s="1">
        <f t="shared" si="14"/>
        <v>500</v>
      </c>
      <c r="J29" s="1">
        <f t="shared" si="14"/>
        <v>500</v>
      </c>
      <c r="K29" s="1">
        <f t="shared" si="14"/>
        <v>500</v>
      </c>
      <c r="L29" s="1">
        <f t="shared" si="14"/>
        <v>500</v>
      </c>
      <c r="M29" s="1">
        <f t="shared" si="14"/>
        <v>500</v>
      </c>
      <c r="N29" s="1">
        <f t="shared" si="14"/>
        <v>500</v>
      </c>
      <c r="O29" s="1">
        <f t="shared" si="14"/>
        <v>500</v>
      </c>
      <c r="P29" s="1">
        <f t="shared" si="14"/>
        <v>500</v>
      </c>
      <c r="Q29" s="1">
        <f t="shared" si="14"/>
        <v>500</v>
      </c>
      <c r="R29" s="1">
        <f t="shared" si="14"/>
        <v>500</v>
      </c>
      <c r="S29" s="1">
        <f t="shared" si="14"/>
        <v>500</v>
      </c>
      <c r="T29" s="1">
        <f t="shared" si="14"/>
        <v>500</v>
      </c>
      <c r="U29" s="1">
        <f t="shared" si="14"/>
        <v>500</v>
      </c>
      <c r="V29" s="1">
        <f t="shared" si="14"/>
        <v>500</v>
      </c>
      <c r="W29" s="1">
        <f t="shared" si="14"/>
        <v>500</v>
      </c>
      <c r="X29" s="1">
        <f t="shared" si="14"/>
        <v>500</v>
      </c>
      <c r="Y29" s="1">
        <f t="shared" si="14"/>
        <v>500</v>
      </c>
      <c r="Z29" s="1">
        <f t="shared" si="14"/>
        <v>500</v>
      </c>
      <c r="AA29" s="1">
        <f t="shared" si="14"/>
        <v>500</v>
      </c>
      <c r="AB29" s="1">
        <f t="shared" si="14"/>
        <v>500</v>
      </c>
      <c r="AC29" s="1">
        <f t="shared" si="14"/>
        <v>500</v>
      </c>
      <c r="AD29" s="1">
        <f t="shared" si="14"/>
        <v>500</v>
      </c>
      <c r="AE29" s="1">
        <f t="shared" si="14"/>
        <v>500</v>
      </c>
      <c r="AF29" s="1">
        <f t="shared" si="14"/>
        <v>500</v>
      </c>
      <c r="AG29" s="1">
        <f t="shared" si="14"/>
        <v>500</v>
      </c>
      <c r="AH29" s="1">
        <f t="shared" si="14"/>
        <v>500</v>
      </c>
      <c r="AI29" s="1">
        <f t="shared" ref="AI29:BJ29" si="15">LegalAndAccountingCostPerMonth</f>
        <v>500</v>
      </c>
      <c r="AJ29" s="1">
        <f t="shared" si="15"/>
        <v>500</v>
      </c>
      <c r="AK29" s="1">
        <f t="shared" si="15"/>
        <v>500</v>
      </c>
      <c r="AL29" s="1">
        <f t="shared" si="15"/>
        <v>500</v>
      </c>
      <c r="AM29" s="1">
        <f t="shared" si="15"/>
        <v>500</v>
      </c>
      <c r="AN29" s="1">
        <f t="shared" si="15"/>
        <v>500</v>
      </c>
      <c r="AO29" s="1">
        <f t="shared" si="15"/>
        <v>500</v>
      </c>
      <c r="AP29" s="1">
        <f t="shared" si="15"/>
        <v>500</v>
      </c>
      <c r="AQ29" s="1">
        <f t="shared" si="15"/>
        <v>500</v>
      </c>
      <c r="AR29" s="1">
        <f t="shared" si="15"/>
        <v>500</v>
      </c>
      <c r="AS29" s="1">
        <f t="shared" si="15"/>
        <v>500</v>
      </c>
      <c r="AT29" s="1">
        <f t="shared" si="15"/>
        <v>500</v>
      </c>
      <c r="AU29" s="1">
        <f t="shared" si="15"/>
        <v>500</v>
      </c>
      <c r="AV29" s="1">
        <f t="shared" si="15"/>
        <v>500</v>
      </c>
      <c r="AW29" s="1">
        <f t="shared" si="15"/>
        <v>500</v>
      </c>
      <c r="AX29" s="1">
        <f t="shared" si="15"/>
        <v>500</v>
      </c>
      <c r="AY29" s="1">
        <f t="shared" si="15"/>
        <v>500</v>
      </c>
      <c r="AZ29" s="1">
        <f t="shared" si="15"/>
        <v>500</v>
      </c>
      <c r="BA29" s="1">
        <f t="shared" si="15"/>
        <v>500</v>
      </c>
      <c r="BB29" s="1">
        <f t="shared" si="15"/>
        <v>500</v>
      </c>
      <c r="BC29" s="1">
        <f t="shared" si="15"/>
        <v>500</v>
      </c>
      <c r="BD29" s="1">
        <f t="shared" si="15"/>
        <v>500</v>
      </c>
      <c r="BE29" s="1">
        <f t="shared" si="15"/>
        <v>500</v>
      </c>
      <c r="BF29" s="1">
        <f t="shared" si="15"/>
        <v>500</v>
      </c>
      <c r="BG29" s="1">
        <f t="shared" si="15"/>
        <v>500</v>
      </c>
      <c r="BH29" s="1">
        <f t="shared" si="15"/>
        <v>500</v>
      </c>
      <c r="BI29" s="1">
        <f t="shared" si="15"/>
        <v>500</v>
      </c>
      <c r="BJ29" s="1">
        <f t="shared" si="15"/>
        <v>500</v>
      </c>
    </row>
    <row r="30" spans="1:62" x14ac:dyDescent="0.2">
      <c r="B30" t="s">
        <v>60</v>
      </c>
      <c r="C30" s="64">
        <v>1000</v>
      </c>
      <c r="D30" s="64">
        <v>1000</v>
      </c>
      <c r="E30" s="64">
        <v>1500</v>
      </c>
      <c r="F30" s="64">
        <v>1750</v>
      </c>
      <c r="G30" s="64">
        <v>1750</v>
      </c>
      <c r="H30" s="1">
        <f>TravelCostPerEmployeePerMonth*Employees!H14</f>
        <v>1750</v>
      </c>
      <c r="I30" s="1">
        <f>TravelCostPerEmployeePerMonth*Employees!I14</f>
        <v>1750</v>
      </c>
      <c r="J30" s="1">
        <f>TravelCostPerEmployeePerMonth*Employees!J14</f>
        <v>1750</v>
      </c>
      <c r="K30" s="1">
        <f>TravelCostPerEmployeePerMonth*Employees!K14</f>
        <v>1750</v>
      </c>
      <c r="L30" s="1">
        <f>TravelCostPerEmployeePerMonth*Employees!L14</f>
        <v>1750</v>
      </c>
      <c r="M30" s="1">
        <f>TravelCostPerEmployeePerMonth*Employees!M14</f>
        <v>1750</v>
      </c>
      <c r="N30" s="1">
        <f>TravelCostPerEmployeePerMonth*Employees!N14</f>
        <v>1750</v>
      </c>
      <c r="O30" s="1">
        <f>TravelCostPerEmployeePerMonth*Employees!O14</f>
        <v>2000</v>
      </c>
      <c r="P30" s="1">
        <f>TravelCostPerEmployeePerMonth*Employees!P14</f>
        <v>2000</v>
      </c>
      <c r="Q30" s="1">
        <f>TravelCostPerEmployeePerMonth*Employees!Q14</f>
        <v>2000</v>
      </c>
      <c r="R30" s="1">
        <f>TravelCostPerEmployeePerMonth*Employees!R14</f>
        <v>2000</v>
      </c>
      <c r="S30" s="1">
        <f>TravelCostPerEmployeePerMonth*Employees!S14</f>
        <v>2000</v>
      </c>
      <c r="T30" s="1">
        <f>TravelCostPerEmployeePerMonth*Employees!T14</f>
        <v>2000</v>
      </c>
      <c r="U30" s="1">
        <f>TravelCostPerEmployeePerMonth*Employees!U14</f>
        <v>2000</v>
      </c>
      <c r="V30" s="1">
        <f>TravelCostPerEmployeePerMonth*Employees!V14</f>
        <v>2000</v>
      </c>
      <c r="W30" s="1">
        <f>TravelCostPerEmployeePerMonth*Employees!W14</f>
        <v>2000</v>
      </c>
      <c r="X30" s="1">
        <f>TravelCostPerEmployeePerMonth*Employees!X14</f>
        <v>2250</v>
      </c>
      <c r="Y30" s="1">
        <f>TravelCostPerEmployeePerMonth*Employees!Y14</f>
        <v>2250</v>
      </c>
      <c r="Z30" s="1">
        <f>TravelCostPerEmployeePerMonth*Employees!Z14</f>
        <v>2250</v>
      </c>
      <c r="AA30" s="1">
        <f>TravelCostPerEmployeePerMonth*Employees!AA14</f>
        <v>2250</v>
      </c>
      <c r="AB30" s="1">
        <f>TravelCostPerEmployeePerMonth*Employees!AB14</f>
        <v>2250</v>
      </c>
      <c r="AC30" s="1">
        <f>TravelCostPerEmployeePerMonth*Employees!AC14</f>
        <v>2250</v>
      </c>
      <c r="AD30" s="1">
        <f>TravelCostPerEmployeePerMonth*Employees!AD14</f>
        <v>2250</v>
      </c>
      <c r="AE30" s="1">
        <f>TravelCostPerEmployeePerMonth*Employees!AE14</f>
        <v>2250</v>
      </c>
      <c r="AF30" s="1">
        <f>TravelCostPerEmployeePerMonth*Employees!AF14</f>
        <v>2250</v>
      </c>
      <c r="AG30" s="1">
        <f>TravelCostPerEmployeePerMonth*Employees!AG14</f>
        <v>2250</v>
      </c>
      <c r="AH30" s="1">
        <f>TravelCostPerEmployeePerMonth*Employees!AH14</f>
        <v>2250</v>
      </c>
      <c r="AI30" s="1">
        <f>TravelCostPerEmployeePerMonth*Employees!AI14</f>
        <v>2250</v>
      </c>
      <c r="AJ30" s="1">
        <f>TravelCostPerEmployeePerMonth*Employees!AJ14</f>
        <v>2250</v>
      </c>
      <c r="AK30" s="1">
        <f>TravelCostPerEmployeePerMonth*Employees!AK14</f>
        <v>2250</v>
      </c>
      <c r="AL30" s="1">
        <f>TravelCostPerEmployeePerMonth*Employees!AL14</f>
        <v>2250</v>
      </c>
      <c r="AM30" s="1">
        <f>TravelCostPerEmployeePerMonth*Employees!AM14</f>
        <v>2250</v>
      </c>
      <c r="AN30" s="1">
        <f>TravelCostPerEmployeePerMonth*Employees!AN14</f>
        <v>2250</v>
      </c>
      <c r="AO30" s="1">
        <f>TravelCostPerEmployeePerMonth*Employees!AO14</f>
        <v>2250</v>
      </c>
      <c r="AP30" s="1">
        <f>TravelCostPerEmployeePerMonth*Employees!AP14</f>
        <v>2250</v>
      </c>
      <c r="AQ30" s="1">
        <f>TravelCostPerEmployeePerMonth*Employees!AQ14</f>
        <v>2250</v>
      </c>
      <c r="AR30" s="1">
        <f>TravelCostPerEmployeePerMonth*Employees!AR14</f>
        <v>2250</v>
      </c>
      <c r="AS30" s="1">
        <f>TravelCostPerEmployeePerMonth*Employees!AS14</f>
        <v>2250</v>
      </c>
      <c r="AT30" s="1">
        <f>TravelCostPerEmployeePerMonth*Employees!AT14</f>
        <v>2250</v>
      </c>
      <c r="AU30" s="1">
        <f>TravelCostPerEmployeePerMonth*Employees!AU14</f>
        <v>2250</v>
      </c>
      <c r="AV30" s="1">
        <f>TravelCostPerEmployeePerMonth*Employees!AV14</f>
        <v>2250</v>
      </c>
      <c r="AW30" s="1">
        <f>TravelCostPerEmployeePerMonth*Employees!AW14</f>
        <v>2250</v>
      </c>
      <c r="AX30" s="1">
        <f>TravelCostPerEmployeePerMonth*Employees!AX14</f>
        <v>2250</v>
      </c>
      <c r="AY30" s="1">
        <f>TravelCostPerEmployeePerMonth*Employees!AY14</f>
        <v>2250</v>
      </c>
      <c r="AZ30" s="1">
        <f>TravelCostPerEmployeePerMonth*Employees!AZ14</f>
        <v>2250</v>
      </c>
      <c r="BA30" s="1">
        <f>TravelCostPerEmployeePerMonth*Employees!BA14</f>
        <v>2250</v>
      </c>
      <c r="BB30" s="1">
        <f>TravelCostPerEmployeePerMonth*Employees!BB14</f>
        <v>2250</v>
      </c>
      <c r="BC30" s="1">
        <f>TravelCostPerEmployeePerMonth*Employees!BC14</f>
        <v>2250</v>
      </c>
      <c r="BD30" s="1">
        <f>TravelCostPerEmployeePerMonth*Employees!BD14</f>
        <v>2250</v>
      </c>
      <c r="BE30" s="1">
        <f>TravelCostPerEmployeePerMonth*Employees!BE14</f>
        <v>2500</v>
      </c>
      <c r="BF30" s="1">
        <f>TravelCostPerEmployeePerMonth*Employees!BF14</f>
        <v>2500</v>
      </c>
      <c r="BG30" s="1">
        <f>TravelCostPerEmployeePerMonth*Employees!BG14</f>
        <v>2500</v>
      </c>
      <c r="BH30" s="1">
        <f>TravelCostPerEmployeePerMonth*Employees!BH14</f>
        <v>2500</v>
      </c>
      <c r="BI30" s="1">
        <f>TravelCostPerEmployeePerMonth*Employees!BI14</f>
        <v>2500</v>
      </c>
      <c r="BJ30" s="1">
        <f>TravelCostPerEmployeePerMonth*Employees!BJ14</f>
        <v>2500</v>
      </c>
    </row>
    <row r="31" spans="1:62" x14ac:dyDescent="0.2">
      <c r="B31" t="s">
        <v>61</v>
      </c>
      <c r="C31" s="64">
        <v>400</v>
      </c>
      <c r="D31" s="64">
        <v>400</v>
      </c>
      <c r="E31" s="64">
        <v>600</v>
      </c>
      <c r="F31" s="64">
        <v>700</v>
      </c>
      <c r="G31" s="64">
        <v>700</v>
      </c>
      <c r="H31" s="1">
        <f>TrainingPerEmployeePerMonth*Employees!H14</f>
        <v>700</v>
      </c>
      <c r="I31" s="1">
        <f>TrainingPerEmployeePerMonth*Employees!I14</f>
        <v>700</v>
      </c>
      <c r="J31" s="1">
        <f>TrainingPerEmployeePerMonth*Employees!J14</f>
        <v>700</v>
      </c>
      <c r="K31" s="1">
        <f>TrainingPerEmployeePerMonth*Employees!K14</f>
        <v>700</v>
      </c>
      <c r="L31" s="1">
        <f>TrainingPerEmployeePerMonth*Employees!L14</f>
        <v>700</v>
      </c>
      <c r="M31" s="1">
        <f>TrainingPerEmployeePerMonth*Employees!M14</f>
        <v>700</v>
      </c>
      <c r="N31" s="1">
        <f>TrainingPerEmployeePerMonth*Employees!N14</f>
        <v>700</v>
      </c>
      <c r="O31" s="1">
        <f>TrainingPerEmployeePerMonth*Employees!O14</f>
        <v>800</v>
      </c>
      <c r="P31" s="1">
        <f>TrainingPerEmployeePerMonth*Employees!P14</f>
        <v>800</v>
      </c>
      <c r="Q31" s="1">
        <f>TrainingPerEmployeePerMonth*Employees!Q14</f>
        <v>800</v>
      </c>
      <c r="R31" s="1">
        <f>TrainingPerEmployeePerMonth*Employees!R14</f>
        <v>800</v>
      </c>
      <c r="S31" s="1">
        <f>TrainingPerEmployeePerMonth*Employees!S14</f>
        <v>800</v>
      </c>
      <c r="T31" s="1">
        <f>TrainingPerEmployeePerMonth*Employees!T14</f>
        <v>800</v>
      </c>
      <c r="U31" s="1">
        <f>TrainingPerEmployeePerMonth*Employees!U14</f>
        <v>800</v>
      </c>
      <c r="V31" s="1">
        <f>TrainingPerEmployeePerMonth*Employees!V14</f>
        <v>800</v>
      </c>
      <c r="W31" s="1">
        <f>TrainingPerEmployeePerMonth*Employees!W14</f>
        <v>800</v>
      </c>
      <c r="X31" s="1">
        <f>TrainingPerEmployeePerMonth*Employees!X14</f>
        <v>900</v>
      </c>
      <c r="Y31" s="1">
        <f>TrainingPerEmployeePerMonth*Employees!Y14</f>
        <v>900</v>
      </c>
      <c r="Z31" s="1">
        <f>TrainingPerEmployeePerMonth*Employees!Z14</f>
        <v>900</v>
      </c>
      <c r="AA31" s="1">
        <f>TrainingPerEmployeePerMonth*Employees!AA14</f>
        <v>900</v>
      </c>
      <c r="AB31" s="1">
        <f>TrainingPerEmployeePerMonth*Employees!AB14</f>
        <v>900</v>
      </c>
      <c r="AC31" s="1">
        <f>TrainingPerEmployeePerMonth*Employees!AC14</f>
        <v>900</v>
      </c>
      <c r="AD31" s="1">
        <f>TrainingPerEmployeePerMonth*Employees!AD14</f>
        <v>900</v>
      </c>
      <c r="AE31" s="1">
        <f>TrainingPerEmployeePerMonth*Employees!AE14</f>
        <v>900</v>
      </c>
      <c r="AF31" s="1">
        <f>TrainingPerEmployeePerMonth*Employees!AF14</f>
        <v>900</v>
      </c>
      <c r="AG31" s="1">
        <f>TrainingPerEmployeePerMonth*Employees!AG14</f>
        <v>900</v>
      </c>
      <c r="AH31" s="1">
        <f>TrainingPerEmployeePerMonth*Employees!AH14</f>
        <v>900</v>
      </c>
      <c r="AI31" s="1">
        <f>TrainingPerEmployeePerMonth*Employees!AI14</f>
        <v>900</v>
      </c>
      <c r="AJ31" s="1">
        <f>TrainingPerEmployeePerMonth*Employees!AJ14</f>
        <v>900</v>
      </c>
      <c r="AK31" s="1">
        <f>TrainingPerEmployeePerMonth*Employees!AK14</f>
        <v>900</v>
      </c>
      <c r="AL31" s="1">
        <f>TrainingPerEmployeePerMonth*Employees!AL14</f>
        <v>900</v>
      </c>
      <c r="AM31" s="1">
        <f>TrainingPerEmployeePerMonth*Employees!AM14</f>
        <v>900</v>
      </c>
      <c r="AN31" s="1">
        <f>TrainingPerEmployeePerMonth*Employees!AN14</f>
        <v>900</v>
      </c>
      <c r="AO31" s="1">
        <f>TrainingPerEmployeePerMonth*Employees!AO14</f>
        <v>900</v>
      </c>
      <c r="AP31" s="1">
        <f>TrainingPerEmployeePerMonth*Employees!AP14</f>
        <v>900</v>
      </c>
      <c r="AQ31" s="1">
        <f>TrainingPerEmployeePerMonth*Employees!AQ14</f>
        <v>900</v>
      </c>
      <c r="AR31" s="1">
        <f>TrainingPerEmployeePerMonth*Employees!AR14</f>
        <v>900</v>
      </c>
      <c r="AS31" s="1">
        <f>TrainingPerEmployeePerMonth*Employees!AS14</f>
        <v>900</v>
      </c>
      <c r="AT31" s="1">
        <f>TrainingPerEmployeePerMonth*Employees!AT14</f>
        <v>900</v>
      </c>
      <c r="AU31" s="1">
        <f>TrainingPerEmployeePerMonth*Employees!AU14</f>
        <v>900</v>
      </c>
      <c r="AV31" s="1">
        <f>TrainingPerEmployeePerMonth*Employees!AV14</f>
        <v>900</v>
      </c>
      <c r="AW31" s="1">
        <f>TrainingPerEmployeePerMonth*Employees!AW14</f>
        <v>900</v>
      </c>
      <c r="AX31" s="1">
        <f>TrainingPerEmployeePerMonth*Employees!AX14</f>
        <v>900</v>
      </c>
      <c r="AY31" s="1">
        <f>TrainingPerEmployeePerMonth*Employees!AY14</f>
        <v>900</v>
      </c>
      <c r="AZ31" s="1">
        <f>TrainingPerEmployeePerMonth*Employees!AZ14</f>
        <v>900</v>
      </c>
      <c r="BA31" s="1">
        <f>TrainingPerEmployeePerMonth*Employees!BA14</f>
        <v>900</v>
      </c>
      <c r="BB31" s="1">
        <f>TrainingPerEmployeePerMonth*Employees!BB14</f>
        <v>900</v>
      </c>
      <c r="BC31" s="1">
        <f>TrainingPerEmployeePerMonth*Employees!BC14</f>
        <v>900</v>
      </c>
      <c r="BD31" s="1">
        <f>TrainingPerEmployeePerMonth*Employees!BD14</f>
        <v>900</v>
      </c>
      <c r="BE31" s="1">
        <f>TrainingPerEmployeePerMonth*Employees!BE14</f>
        <v>1000</v>
      </c>
      <c r="BF31" s="1">
        <f>TrainingPerEmployeePerMonth*Employees!BF14</f>
        <v>1000</v>
      </c>
      <c r="BG31" s="1">
        <f>TrainingPerEmployeePerMonth*Employees!BG14</f>
        <v>1000</v>
      </c>
      <c r="BH31" s="1">
        <f>TrainingPerEmployeePerMonth*Employees!BH14</f>
        <v>1000</v>
      </c>
      <c r="BI31" s="1">
        <f>TrainingPerEmployeePerMonth*Employees!BI14</f>
        <v>1000</v>
      </c>
      <c r="BJ31" s="1">
        <f>TrainingPerEmployeePerMonth*Employees!BJ14</f>
        <v>1000</v>
      </c>
    </row>
    <row r="32" spans="1:62" x14ac:dyDescent="0.2">
      <c r="B32" t="s">
        <v>62</v>
      </c>
      <c r="C32" s="64">
        <v>0</v>
      </c>
      <c r="D32" s="65">
        <v>0</v>
      </c>
      <c r="E32" s="65">
        <v>10000</v>
      </c>
      <c r="F32" s="65">
        <v>5000</v>
      </c>
      <c r="G32" s="65">
        <v>0</v>
      </c>
      <c r="H32">
        <f>RecruitingPerNewEmployee*(Employees!H14-Employees!G14)</f>
        <v>0</v>
      </c>
      <c r="I32">
        <f>RecruitingPerNewEmployee*(Employees!I14-Employees!H14)</f>
        <v>0</v>
      </c>
      <c r="J32">
        <f>RecruitingPerNewEmployee*(Employees!J14-Employees!I14)</f>
        <v>0</v>
      </c>
      <c r="K32">
        <f>RecruitingPerNewEmployee*(Employees!K14-Employees!J14)</f>
        <v>0</v>
      </c>
      <c r="L32">
        <f>RecruitingPerNewEmployee*(Employees!L14-Employees!K14)</f>
        <v>0</v>
      </c>
      <c r="M32">
        <f>RecruitingPerNewEmployee*(Employees!M14-Employees!L14)</f>
        <v>0</v>
      </c>
      <c r="N32">
        <f>RecruitingPerNewEmployee*(Employees!N14-Employees!M14)</f>
        <v>0</v>
      </c>
      <c r="O32">
        <f>RecruitingPerNewEmployee*(Employees!O14-Employees!N14)</f>
        <v>5000</v>
      </c>
      <c r="P32">
        <f>RecruitingPerNewEmployee*(Employees!P14-Employees!O14)</f>
        <v>0</v>
      </c>
      <c r="Q32">
        <f>RecruitingPerNewEmployee*(Employees!Q14-Employees!P14)</f>
        <v>0</v>
      </c>
      <c r="R32">
        <f>RecruitingPerNewEmployee*(Employees!R14-Employees!Q14)</f>
        <v>0</v>
      </c>
      <c r="S32">
        <f>RecruitingPerNewEmployee*(Employees!S14-Employees!R14)</f>
        <v>0</v>
      </c>
      <c r="T32">
        <f>RecruitingPerNewEmployee*(Employees!T14-Employees!S14)</f>
        <v>0</v>
      </c>
      <c r="U32">
        <f>RecruitingPerNewEmployee*(Employees!U14-Employees!T14)</f>
        <v>0</v>
      </c>
      <c r="V32">
        <f>RecruitingPerNewEmployee*(Employees!V14-Employees!U14)</f>
        <v>0</v>
      </c>
      <c r="W32">
        <f>RecruitingPerNewEmployee*(Employees!W14-Employees!V14)</f>
        <v>0</v>
      </c>
      <c r="X32">
        <f>RecruitingPerNewEmployee*(Employees!X14-Employees!W14)</f>
        <v>5000</v>
      </c>
      <c r="Y32">
        <f>RecruitingPerNewEmployee*(Employees!Y14-Employees!X14)</f>
        <v>0</v>
      </c>
      <c r="Z32">
        <f>RecruitingPerNewEmployee*(Employees!Z14-Employees!Y14)</f>
        <v>0</v>
      </c>
      <c r="AA32">
        <f>RecruitingPerNewEmployee*(Employees!AA14-Employees!Z14)</f>
        <v>0</v>
      </c>
      <c r="AB32">
        <f>RecruitingPerNewEmployee*(Employees!AB14-Employees!AA14)</f>
        <v>0</v>
      </c>
      <c r="AC32">
        <f>RecruitingPerNewEmployee*(Employees!AC14-Employees!AB14)</f>
        <v>0</v>
      </c>
      <c r="AD32">
        <f>RecruitingPerNewEmployee*(Employees!AD14-Employees!AC14)</f>
        <v>0</v>
      </c>
      <c r="AE32">
        <f>RecruitingPerNewEmployee*(Employees!AE14-Employees!AD14)</f>
        <v>0</v>
      </c>
      <c r="AF32">
        <f>RecruitingPerNewEmployee*(Employees!AF14-Employees!AE14)</f>
        <v>0</v>
      </c>
      <c r="AG32">
        <f>RecruitingPerNewEmployee*(Employees!AG14-Employees!AF14)</f>
        <v>0</v>
      </c>
      <c r="AH32">
        <f>RecruitingPerNewEmployee*(Employees!AH14-Employees!AG14)</f>
        <v>0</v>
      </c>
      <c r="AI32">
        <f>RecruitingPerNewEmployee*(Employees!AI14-Employees!AH14)</f>
        <v>0</v>
      </c>
      <c r="AJ32">
        <f>RecruitingPerNewEmployee*(Employees!AJ14-Employees!AI14)</f>
        <v>0</v>
      </c>
      <c r="AK32">
        <f>RecruitingPerNewEmployee*(Employees!AK14-Employees!AJ14)</f>
        <v>0</v>
      </c>
      <c r="AL32">
        <f>RecruitingPerNewEmployee*(Employees!AL14-Employees!AK14)</f>
        <v>0</v>
      </c>
      <c r="AM32">
        <f>RecruitingPerNewEmployee*(Employees!AM14-Employees!AL14)</f>
        <v>0</v>
      </c>
      <c r="AN32">
        <f>RecruitingPerNewEmployee*(Employees!AN14-Employees!AM14)</f>
        <v>0</v>
      </c>
      <c r="AO32">
        <f>RecruitingPerNewEmployee*(Employees!AO14-Employees!AN14)</f>
        <v>0</v>
      </c>
      <c r="AP32">
        <f>RecruitingPerNewEmployee*(Employees!AP14-Employees!AO14)</f>
        <v>0</v>
      </c>
      <c r="AQ32">
        <f>RecruitingPerNewEmployee*(Employees!AQ14-Employees!AP14)</f>
        <v>0</v>
      </c>
      <c r="AR32">
        <f>RecruitingPerNewEmployee*(Employees!AR14-Employees!AQ14)</f>
        <v>0</v>
      </c>
      <c r="AS32">
        <f>RecruitingPerNewEmployee*(Employees!AS14-Employees!AR14)</f>
        <v>0</v>
      </c>
      <c r="AT32">
        <f>RecruitingPerNewEmployee*(Employees!AT14-Employees!AS14)</f>
        <v>0</v>
      </c>
      <c r="AU32">
        <f>RecruitingPerNewEmployee*(Employees!AU14-Employees!AT14)</f>
        <v>0</v>
      </c>
      <c r="AV32">
        <f>RecruitingPerNewEmployee*(Employees!AV14-Employees!AU14)</f>
        <v>0</v>
      </c>
      <c r="AW32">
        <f>RecruitingPerNewEmployee*(Employees!AW14-Employees!AV14)</f>
        <v>0</v>
      </c>
      <c r="AX32">
        <f>RecruitingPerNewEmployee*(Employees!AX14-Employees!AW14)</f>
        <v>0</v>
      </c>
      <c r="AY32">
        <f>RecruitingPerNewEmployee*(Employees!AY14-Employees!AX14)</f>
        <v>0</v>
      </c>
      <c r="AZ32">
        <f>RecruitingPerNewEmployee*(Employees!AZ14-Employees!AY14)</f>
        <v>0</v>
      </c>
      <c r="BA32">
        <f>RecruitingPerNewEmployee*(Employees!BA14-Employees!AZ14)</f>
        <v>0</v>
      </c>
      <c r="BB32">
        <f>RecruitingPerNewEmployee*(Employees!BB14-Employees!BA14)</f>
        <v>0</v>
      </c>
      <c r="BC32">
        <f>RecruitingPerNewEmployee*(Employees!BC14-Employees!BB14)</f>
        <v>0</v>
      </c>
      <c r="BD32">
        <f>RecruitingPerNewEmployee*(Employees!BD14-Employees!BC14)</f>
        <v>0</v>
      </c>
      <c r="BE32">
        <f>RecruitingPerNewEmployee*(Employees!BE14-Employees!BD14)</f>
        <v>5000</v>
      </c>
      <c r="BF32">
        <f>RecruitingPerNewEmployee*(Employees!BF14-Employees!BE14)</f>
        <v>0</v>
      </c>
      <c r="BG32">
        <f>RecruitingPerNewEmployee*(Employees!BG14-Employees!BF14)</f>
        <v>0</v>
      </c>
      <c r="BH32">
        <f>RecruitingPerNewEmployee*(Employees!BH14-Employees!BG14)</f>
        <v>0</v>
      </c>
      <c r="BI32">
        <f>RecruitingPerNewEmployee*(Employees!BI14-Employees!BH14)</f>
        <v>0</v>
      </c>
      <c r="BJ32">
        <f>RecruitingPerNewEmployee*(Employees!BJ14-Employees!BI14)</f>
        <v>0</v>
      </c>
    </row>
    <row r="33" spans="1:62" s="3" customFormat="1" x14ac:dyDescent="0.2">
      <c r="A33" s="3" t="s">
        <v>63</v>
      </c>
      <c r="C33" s="69">
        <v>39716.666666666672</v>
      </c>
      <c r="D33" s="69">
        <v>39716.666666666672</v>
      </c>
      <c r="E33" s="69">
        <v>67241.666666666672</v>
      </c>
      <c r="F33" s="69">
        <v>73608.333333333343</v>
      </c>
      <c r="G33" s="69">
        <v>68608.333333333343</v>
      </c>
      <c r="H33" s="12">
        <f t="shared" ref="H33:BJ33" si="16">SUM(H25:H32)</f>
        <v>68608.333333333343</v>
      </c>
      <c r="I33" s="12">
        <f t="shared" si="16"/>
        <v>68608.333333333343</v>
      </c>
      <c r="J33" s="12">
        <f t="shared" si="16"/>
        <v>68608.333333333343</v>
      </c>
      <c r="K33" s="12">
        <f t="shared" si="16"/>
        <v>68608.333333333343</v>
      </c>
      <c r="L33" s="12">
        <f t="shared" si="16"/>
        <v>68608.333333333343</v>
      </c>
      <c r="M33" s="12">
        <f t="shared" si="16"/>
        <v>68608.333333333343</v>
      </c>
      <c r="N33" s="12">
        <f t="shared" si="16"/>
        <v>68608.333333333343</v>
      </c>
      <c r="O33" s="12">
        <f t="shared" si="16"/>
        <v>84975</v>
      </c>
      <c r="P33" s="12">
        <f t="shared" si="16"/>
        <v>79975</v>
      </c>
      <c r="Q33" s="12">
        <f t="shared" si="16"/>
        <v>79975</v>
      </c>
      <c r="R33" s="12">
        <f t="shared" si="16"/>
        <v>79975</v>
      </c>
      <c r="S33" s="12">
        <f t="shared" si="16"/>
        <v>79975</v>
      </c>
      <c r="T33" s="12">
        <f t="shared" si="16"/>
        <v>79975</v>
      </c>
      <c r="U33" s="12">
        <f t="shared" si="16"/>
        <v>79975</v>
      </c>
      <c r="V33" s="12">
        <f t="shared" si="16"/>
        <v>79975</v>
      </c>
      <c r="W33" s="12">
        <f t="shared" si="16"/>
        <v>79975</v>
      </c>
      <c r="X33" s="12">
        <f t="shared" si="16"/>
        <v>90091.666666666672</v>
      </c>
      <c r="Y33" s="12">
        <f t="shared" si="16"/>
        <v>85091.666666666672</v>
      </c>
      <c r="Z33" s="12">
        <f t="shared" si="16"/>
        <v>85091.666666666672</v>
      </c>
      <c r="AA33" s="12">
        <f t="shared" si="16"/>
        <v>85091.666666666672</v>
      </c>
      <c r="AB33" s="12">
        <f t="shared" si="16"/>
        <v>85091.666666666672</v>
      </c>
      <c r="AC33" s="12">
        <f t="shared" si="16"/>
        <v>85091.666666666672</v>
      </c>
      <c r="AD33" s="12">
        <f t="shared" si="16"/>
        <v>85091.666666666672</v>
      </c>
      <c r="AE33" s="12">
        <f t="shared" si="16"/>
        <v>85091.666666666672</v>
      </c>
      <c r="AF33" s="12">
        <f t="shared" si="16"/>
        <v>85091.666666666672</v>
      </c>
      <c r="AG33" s="12">
        <f t="shared" si="16"/>
        <v>85091.666666666672</v>
      </c>
      <c r="AH33" s="12">
        <f t="shared" si="16"/>
        <v>85091.666666666672</v>
      </c>
      <c r="AI33" s="12">
        <f t="shared" si="16"/>
        <v>85091.666666666672</v>
      </c>
      <c r="AJ33" s="12">
        <f t="shared" si="16"/>
        <v>85091.666666666672</v>
      </c>
      <c r="AK33" s="12">
        <f t="shared" si="16"/>
        <v>85091.666666666672</v>
      </c>
      <c r="AL33" s="12">
        <f t="shared" si="16"/>
        <v>85091.666666666672</v>
      </c>
      <c r="AM33" s="12">
        <f t="shared" si="16"/>
        <v>85091.666666666672</v>
      </c>
      <c r="AN33" s="12">
        <f t="shared" si="16"/>
        <v>85091.666666666672</v>
      </c>
      <c r="AO33" s="12">
        <f t="shared" si="16"/>
        <v>85091.666666666672</v>
      </c>
      <c r="AP33" s="12">
        <f t="shared" si="16"/>
        <v>85091.666666666672</v>
      </c>
      <c r="AQ33" s="12">
        <f t="shared" si="16"/>
        <v>85091.666666666672</v>
      </c>
      <c r="AR33" s="12">
        <f t="shared" si="16"/>
        <v>85091.666666666672</v>
      </c>
      <c r="AS33" s="12">
        <f t="shared" si="16"/>
        <v>85091.666666666672</v>
      </c>
      <c r="AT33" s="12">
        <f t="shared" si="16"/>
        <v>85091.666666666672</v>
      </c>
      <c r="AU33" s="12">
        <f t="shared" si="16"/>
        <v>85091.666666666672</v>
      </c>
      <c r="AV33" s="12">
        <f t="shared" si="16"/>
        <v>85091.666666666672</v>
      </c>
      <c r="AW33" s="12">
        <f t="shared" si="16"/>
        <v>85091.666666666672</v>
      </c>
      <c r="AX33" s="12">
        <f t="shared" si="16"/>
        <v>85091.666666666672</v>
      </c>
      <c r="AY33" s="12">
        <f t="shared" si="16"/>
        <v>85091.666666666672</v>
      </c>
      <c r="AZ33" s="12">
        <f t="shared" si="16"/>
        <v>85091.666666666672</v>
      </c>
      <c r="BA33" s="12">
        <f t="shared" si="16"/>
        <v>85091.666666666672</v>
      </c>
      <c r="BB33" s="12">
        <f t="shared" si="16"/>
        <v>85091.666666666672</v>
      </c>
      <c r="BC33" s="12">
        <f t="shared" si="16"/>
        <v>85091.666666666672</v>
      </c>
      <c r="BD33" s="12">
        <f t="shared" si="16"/>
        <v>85091.666666666672</v>
      </c>
      <c r="BE33" s="12">
        <f t="shared" si="16"/>
        <v>95208.333333333328</v>
      </c>
      <c r="BF33" s="12">
        <f t="shared" si="16"/>
        <v>90208.333333333328</v>
      </c>
      <c r="BG33" s="12">
        <f t="shared" si="16"/>
        <v>90208.333333333328</v>
      </c>
      <c r="BH33" s="12">
        <f t="shared" si="16"/>
        <v>90208.333333333328</v>
      </c>
      <c r="BI33" s="12">
        <f t="shared" si="16"/>
        <v>90208.333333333328</v>
      </c>
      <c r="BJ33" s="12">
        <f t="shared" si="16"/>
        <v>90208.333333333328</v>
      </c>
    </row>
    <row r="34" spans="1:62" x14ac:dyDescent="0.2">
      <c r="C34" s="65"/>
      <c r="D34" s="65"/>
      <c r="E34" s="65"/>
      <c r="F34" s="65"/>
      <c r="G34" s="65"/>
    </row>
    <row r="35" spans="1:62" s="3" customFormat="1" x14ac:dyDescent="0.2">
      <c r="A35" s="3" t="s">
        <v>64</v>
      </c>
      <c r="C35" s="71">
        <v>-39583.657921666672</v>
      </c>
      <c r="D35" s="71">
        <v>-39520.790442666672</v>
      </c>
      <c r="E35" s="71">
        <v>-67235.061886866664</v>
      </c>
      <c r="F35" s="71">
        <v>-73509.984428533338</v>
      </c>
      <c r="G35" s="71">
        <v>-82350.191269333343</v>
      </c>
      <c r="H35" s="15">
        <f t="shared" ref="H35:BJ35" si="17">H23-H33</f>
        <v>-80720.531984187619</v>
      </c>
      <c r="I35" s="15">
        <f t="shared" si="17"/>
        <v>-79121.280330729089</v>
      </c>
      <c r="J35" s="15">
        <f t="shared" si="17"/>
        <v>-77550.067430187075</v>
      </c>
      <c r="K35" s="15">
        <f t="shared" si="17"/>
        <v>-75974.969651969906</v>
      </c>
      <c r="L35" s="15">
        <f t="shared" si="17"/>
        <v>-74421.286900211591</v>
      </c>
      <c r="M35" s="15">
        <f t="shared" si="17"/>
        <v>-72875.89876448398</v>
      </c>
      <c r="N35" s="15">
        <f t="shared" si="17"/>
        <v>-71354.298387386021</v>
      </c>
      <c r="O35" s="15">
        <f t="shared" si="17"/>
        <v>-86206.517808514211</v>
      </c>
      <c r="P35" s="15">
        <f t="shared" si="17"/>
        <v>-79713.314999038965</v>
      </c>
      <c r="Q35" s="15">
        <f t="shared" si="17"/>
        <v>-78212.110194456996</v>
      </c>
      <c r="R35" s="15">
        <f t="shared" si="17"/>
        <v>-76742.617968968523</v>
      </c>
      <c r="S35" s="15">
        <f t="shared" si="17"/>
        <v>-75276.717824571009</v>
      </c>
      <c r="T35" s="15">
        <f t="shared" si="17"/>
        <v>-73834.117788980308</v>
      </c>
      <c r="U35" s="15">
        <f t="shared" si="17"/>
        <v>-72363.030902376457</v>
      </c>
      <c r="V35" s="15">
        <f t="shared" si="17"/>
        <v>-70886.523748737032</v>
      </c>
      <c r="W35" s="15">
        <f t="shared" si="17"/>
        <v>-69408.148865229858</v>
      </c>
      <c r="X35" s="15">
        <f t="shared" si="17"/>
        <v>-78286.293513157303</v>
      </c>
      <c r="Y35" s="15">
        <f t="shared" si="17"/>
        <v>-72065.993459609366</v>
      </c>
      <c r="Z35" s="15">
        <f t="shared" si="17"/>
        <v>-70835.157658931552</v>
      </c>
      <c r="AA35" s="15">
        <f t="shared" si="17"/>
        <v>-69621.46328530238</v>
      </c>
      <c r="AB35" s="15">
        <f t="shared" si="17"/>
        <v>-68395.444789386325</v>
      </c>
      <c r="AC35" s="15">
        <f t="shared" si="17"/>
        <v>-67143.812123504409</v>
      </c>
      <c r="AD35" s="15">
        <f t="shared" si="17"/>
        <v>-65883.140548928321</v>
      </c>
      <c r="AE35" s="15">
        <f t="shared" si="17"/>
        <v>-64606.814503123504</v>
      </c>
      <c r="AF35" s="15">
        <f t="shared" si="17"/>
        <v>-63320.047120431176</v>
      </c>
      <c r="AG35" s="15">
        <f t="shared" si="17"/>
        <v>-61972.409154605819</v>
      </c>
      <c r="AH35" s="15">
        <f t="shared" si="17"/>
        <v>-60600.011778346248</v>
      </c>
      <c r="AI35" s="15">
        <f t="shared" si="17"/>
        <v>-59170.593303709727</v>
      </c>
      <c r="AJ35" s="15">
        <f t="shared" si="17"/>
        <v>-57674.272167196774</v>
      </c>
      <c r="AK35" s="15">
        <f t="shared" si="17"/>
        <v>-56137.260656838727</v>
      </c>
      <c r="AL35" s="15">
        <f t="shared" si="17"/>
        <v>-54495.920169899269</v>
      </c>
      <c r="AM35" s="15">
        <f t="shared" si="17"/>
        <v>-52786.078475900766</v>
      </c>
      <c r="AN35" s="15">
        <f t="shared" si="17"/>
        <v>-50975.248327020265</v>
      </c>
      <c r="AO35" s="15">
        <f t="shared" si="17"/>
        <v>-49047.996667294035</v>
      </c>
      <c r="AP35" s="15">
        <f t="shared" si="17"/>
        <v>-46988.734493538519</v>
      </c>
      <c r="AQ35" s="15">
        <f t="shared" si="17"/>
        <v>-44758.528876455573</v>
      </c>
      <c r="AR35" s="15">
        <f t="shared" si="17"/>
        <v>-42399.377380999431</v>
      </c>
      <c r="AS35" s="15">
        <f t="shared" si="17"/>
        <v>-39848.344781793377</v>
      </c>
      <c r="AT35" s="15">
        <f t="shared" si="17"/>
        <v>-37063.115198954198</v>
      </c>
      <c r="AU35" s="15">
        <f t="shared" si="17"/>
        <v>-34074.453479325122</v>
      </c>
      <c r="AV35" s="15">
        <f t="shared" si="17"/>
        <v>-30814.419597948567</v>
      </c>
      <c r="AW35" s="15">
        <f t="shared" si="17"/>
        <v>-27262.991671438518</v>
      </c>
      <c r="AX35" s="15">
        <f t="shared" si="17"/>
        <v>-23399.802701251829</v>
      </c>
      <c r="AY35" s="15">
        <f t="shared" si="17"/>
        <v>-19176.957044828843</v>
      </c>
      <c r="AZ35" s="15">
        <f t="shared" si="17"/>
        <v>-14547.727076767638</v>
      </c>
      <c r="BA35" s="15">
        <f t="shared" si="17"/>
        <v>-9488.9101309454854</v>
      </c>
      <c r="BB35" s="15">
        <f t="shared" si="17"/>
        <v>-3907.1710571953881</v>
      </c>
      <c r="BC35" s="15">
        <f t="shared" si="17"/>
        <v>2237.1309226938902</v>
      </c>
      <c r="BD35" s="15">
        <f t="shared" si="17"/>
        <v>8972.306624493518</v>
      </c>
      <c r="BE35" s="15">
        <f t="shared" si="17"/>
        <v>6307.8713464313041</v>
      </c>
      <c r="BF35" s="15">
        <f t="shared" si="17"/>
        <v>19534.562172813967</v>
      </c>
      <c r="BG35" s="15">
        <f t="shared" si="17"/>
        <v>28601.859811895803</v>
      </c>
      <c r="BH35" s="15">
        <f t="shared" si="17"/>
        <v>38615.38749893049</v>
      </c>
      <c r="BI35" s="15">
        <f t="shared" si="17"/>
        <v>49672.446295388494</v>
      </c>
      <c r="BJ35" s="15">
        <f t="shared" si="17"/>
        <v>61943.943432832355</v>
      </c>
    </row>
    <row r="36" spans="1:62" s="3" customFormat="1" x14ac:dyDescent="0.2">
      <c r="C36" s="71"/>
      <c r="D36" s="71"/>
      <c r="E36" s="71"/>
      <c r="F36" s="71"/>
      <c r="G36" s="71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3" customFormat="1" x14ac:dyDescent="0.2">
      <c r="B37" s="44" t="s">
        <v>125</v>
      </c>
      <c r="C37" s="72">
        <v>43196.921666666669</v>
      </c>
      <c r="D37" s="72">
        <v>43462.182166666673</v>
      </c>
      <c r="E37" s="72">
        <v>71588.581666666665</v>
      </c>
      <c r="F37" s="72">
        <v>78426.842333333349</v>
      </c>
      <c r="G37" s="72">
        <v>104815.48733333334</v>
      </c>
      <c r="H37" s="49">
        <f t="shared" ref="H37:BJ37" si="18">H14+H21+H33</f>
        <v>107970.06315040842</v>
      </c>
      <c r="I37" s="49">
        <f t="shared" si="18"/>
        <v>111320.04114545841</v>
      </c>
      <c r="J37" s="49">
        <f t="shared" si="18"/>
        <v>114540.08955372943</v>
      </c>
      <c r="K37" s="49">
        <f t="shared" si="18"/>
        <v>117704.01457151081</v>
      </c>
      <c r="L37" s="49">
        <f t="shared" si="18"/>
        <v>120755.08628201328</v>
      </c>
      <c r="M37" s="49">
        <f t="shared" si="18"/>
        <v>123728.94501875954</v>
      </c>
      <c r="N37" s="49">
        <f t="shared" si="18"/>
        <v>126589.06199892968</v>
      </c>
      <c r="O37" s="49">
        <f t="shared" si="18"/>
        <v>145762.58617101648</v>
      </c>
      <c r="P37" s="49">
        <f t="shared" si="18"/>
        <v>143486.47680810903</v>
      </c>
      <c r="Q37" s="49">
        <f t="shared" si="18"/>
        <v>146182.3900624557</v>
      </c>
      <c r="R37" s="49">
        <f t="shared" si="18"/>
        <v>148763.986838721</v>
      </c>
      <c r="S37" s="49">
        <f t="shared" si="18"/>
        <v>151319.2682676205</v>
      </c>
      <c r="T37" s="49">
        <f t="shared" si="18"/>
        <v>153781.80979674298</v>
      </c>
      <c r="U37" s="49">
        <f t="shared" si="18"/>
        <v>156264.75318143729</v>
      </c>
      <c r="V37" s="49">
        <f t="shared" si="18"/>
        <v>158725.39986201809</v>
      </c>
      <c r="W37" s="49">
        <f t="shared" si="18"/>
        <v>161152.20643121592</v>
      </c>
      <c r="X37" s="49">
        <f t="shared" si="18"/>
        <v>173662.1209542983</v>
      </c>
      <c r="Y37" s="49">
        <f t="shared" si="18"/>
        <v>171022.09831254499</v>
      </c>
      <c r="Z37" s="49">
        <f t="shared" si="18"/>
        <v>173410.23196228335</v>
      </c>
      <c r="AA37" s="49">
        <f t="shared" si="18"/>
        <v>175767.23858168209</v>
      </c>
      <c r="AB37" s="49">
        <f t="shared" si="18"/>
        <v>178156.16694764339</v>
      </c>
      <c r="AC37" s="49">
        <f t="shared" si="18"/>
        <v>180602.28684730735</v>
      </c>
      <c r="AD37" s="49">
        <f t="shared" si="18"/>
        <v>183066.65703842667</v>
      </c>
      <c r="AE37" s="49">
        <f t="shared" si="18"/>
        <v>185569.92795069894</v>
      </c>
      <c r="AF37" s="49">
        <f t="shared" si="18"/>
        <v>188094.13238857302</v>
      </c>
      <c r="AG37" s="49">
        <f t="shared" si="18"/>
        <v>190751.0893209168</v>
      </c>
      <c r="AH37" s="49">
        <f t="shared" si="18"/>
        <v>193456.15386906557</v>
      </c>
      <c r="AI37" s="49">
        <f t="shared" si="18"/>
        <v>196278.68926127322</v>
      </c>
      <c r="AJ37" s="49">
        <f t="shared" si="18"/>
        <v>199246.78577531473</v>
      </c>
      <c r="AK37" s="49">
        <f t="shared" si="18"/>
        <v>202293.28743376257</v>
      </c>
      <c r="AL37" s="49">
        <f t="shared" si="18"/>
        <v>205566.12337170329</v>
      </c>
      <c r="AM37" s="49">
        <f t="shared" si="18"/>
        <v>208970.09024148167</v>
      </c>
      <c r="AN37" s="49">
        <f t="shared" si="18"/>
        <v>212585.80520253797</v>
      </c>
      <c r="AO37" s="49">
        <f t="shared" si="18"/>
        <v>216443.05120649264</v>
      </c>
      <c r="AP37" s="49">
        <f t="shared" si="18"/>
        <v>220571.88659517508</v>
      </c>
      <c r="AQ37" s="49">
        <f t="shared" si="18"/>
        <v>225056.75782869675</v>
      </c>
      <c r="AR37" s="49">
        <f t="shared" si="18"/>
        <v>229798.68256699713</v>
      </c>
      <c r="AS37" s="49">
        <f t="shared" si="18"/>
        <v>234937.93282492924</v>
      </c>
      <c r="AT37" s="49">
        <f t="shared" si="18"/>
        <v>240566.55353767541</v>
      </c>
      <c r="AU37" s="49">
        <f t="shared" si="18"/>
        <v>246605.9492901768</v>
      </c>
      <c r="AV37" s="49">
        <f t="shared" si="18"/>
        <v>253207.70551490894</v>
      </c>
      <c r="AW37" s="49">
        <f t="shared" si="18"/>
        <v>260411.4550753464</v>
      </c>
      <c r="AX37" s="49">
        <f t="shared" si="18"/>
        <v>268257.47817446239</v>
      </c>
      <c r="AY37" s="49">
        <f t="shared" si="18"/>
        <v>276850.11479581427</v>
      </c>
      <c r="AZ37" s="49">
        <f t="shared" si="18"/>
        <v>286279.79212192539</v>
      </c>
      <c r="BA37" s="49">
        <f t="shared" si="18"/>
        <v>296592.81708173378</v>
      </c>
      <c r="BB37" s="49">
        <f t="shared" si="18"/>
        <v>307993.42448763794</v>
      </c>
      <c r="BC37" s="49">
        <f t="shared" si="18"/>
        <v>320560.30053183227</v>
      </c>
      <c r="BD37" s="49">
        <f t="shared" si="18"/>
        <v>334350.91321293788</v>
      </c>
      <c r="BE37" s="49">
        <f t="shared" si="18"/>
        <v>359750.96835727844</v>
      </c>
      <c r="BF37" s="49">
        <f t="shared" si="18"/>
        <v>371640.82670617802</v>
      </c>
      <c r="BG37" s="49">
        <f t="shared" si="18"/>
        <v>390281.88214045955</v>
      </c>
      <c r="BH37" s="49">
        <f t="shared" si="18"/>
        <v>410894.08289888193</v>
      </c>
      <c r="BI37" s="49">
        <f t="shared" si="18"/>
        <v>433682.98417368456</v>
      </c>
      <c r="BJ37" s="49">
        <f t="shared" si="18"/>
        <v>459008.90614358574</v>
      </c>
    </row>
    <row r="38" spans="1:62" s="47" customFormat="1" x14ac:dyDescent="0.2">
      <c r="B38" s="47" t="s">
        <v>71</v>
      </c>
      <c r="C38" s="73">
        <v>4</v>
      </c>
      <c r="D38" s="73">
        <v>4</v>
      </c>
      <c r="E38" s="73">
        <v>6</v>
      </c>
      <c r="F38" s="73">
        <v>7</v>
      </c>
      <c r="G38" s="73">
        <v>7</v>
      </c>
      <c r="H38" s="48">
        <f>Employees!H14</f>
        <v>7</v>
      </c>
      <c r="I38" s="48">
        <f>Employees!I14</f>
        <v>7</v>
      </c>
      <c r="J38" s="48">
        <f>Employees!J14</f>
        <v>7</v>
      </c>
      <c r="K38" s="48">
        <f>Employees!K14</f>
        <v>7</v>
      </c>
      <c r="L38" s="48">
        <f>Employees!L14</f>
        <v>7</v>
      </c>
      <c r="M38" s="48">
        <f>Employees!M14</f>
        <v>7</v>
      </c>
      <c r="N38" s="48">
        <f>Employees!N14</f>
        <v>7</v>
      </c>
      <c r="O38" s="48">
        <f>Employees!O14</f>
        <v>8</v>
      </c>
      <c r="P38" s="48">
        <f>Employees!P14</f>
        <v>8</v>
      </c>
      <c r="Q38" s="48">
        <f>Employees!Q14</f>
        <v>8</v>
      </c>
      <c r="R38" s="48">
        <f>Employees!R14</f>
        <v>8</v>
      </c>
      <c r="S38" s="48">
        <f>Employees!S14</f>
        <v>8</v>
      </c>
      <c r="T38" s="48">
        <f>Employees!T14</f>
        <v>8</v>
      </c>
      <c r="U38" s="48">
        <f>Employees!U14</f>
        <v>8</v>
      </c>
      <c r="V38" s="48">
        <f>Employees!V14</f>
        <v>8</v>
      </c>
      <c r="W38" s="48">
        <f>Employees!W14</f>
        <v>8</v>
      </c>
      <c r="X38" s="48">
        <f>Employees!X14</f>
        <v>9</v>
      </c>
      <c r="Y38" s="48">
        <f>Employees!Y14</f>
        <v>9</v>
      </c>
      <c r="Z38" s="48">
        <f>Employees!Z14</f>
        <v>9</v>
      </c>
      <c r="AA38" s="48">
        <f>Employees!AA14</f>
        <v>9</v>
      </c>
      <c r="AB38" s="48">
        <f>Employees!AB14</f>
        <v>9</v>
      </c>
      <c r="AC38" s="48">
        <f>Employees!AC14</f>
        <v>9</v>
      </c>
      <c r="AD38" s="48">
        <f>Employees!AD14</f>
        <v>9</v>
      </c>
      <c r="AE38" s="48">
        <f>Employees!AE14</f>
        <v>9</v>
      </c>
      <c r="AF38" s="48">
        <f>Employees!AF14</f>
        <v>9</v>
      </c>
      <c r="AG38" s="48">
        <f>Employees!AG14</f>
        <v>9</v>
      </c>
      <c r="AH38" s="48">
        <f>Employees!AH14</f>
        <v>9</v>
      </c>
      <c r="AI38" s="48">
        <f>Employees!AI14</f>
        <v>9</v>
      </c>
      <c r="AJ38" s="48">
        <f>Employees!AJ14</f>
        <v>9</v>
      </c>
      <c r="AK38" s="48">
        <f>Employees!AK14</f>
        <v>9</v>
      </c>
      <c r="AL38" s="48">
        <f>Employees!AL14</f>
        <v>9</v>
      </c>
      <c r="AM38" s="48">
        <f>Employees!AM14</f>
        <v>9</v>
      </c>
      <c r="AN38" s="48">
        <f>Employees!AN14</f>
        <v>9</v>
      </c>
      <c r="AO38" s="48">
        <f>Employees!AO14</f>
        <v>9</v>
      </c>
      <c r="AP38" s="48">
        <f>Employees!AP14</f>
        <v>9</v>
      </c>
      <c r="AQ38" s="48">
        <f>Employees!AQ14</f>
        <v>9</v>
      </c>
      <c r="AR38" s="48">
        <f>Employees!AR14</f>
        <v>9</v>
      </c>
      <c r="AS38" s="48">
        <f>Employees!AS14</f>
        <v>9</v>
      </c>
      <c r="AT38" s="48">
        <f>Employees!AT14</f>
        <v>9</v>
      </c>
      <c r="AU38" s="48">
        <f>Employees!AU14</f>
        <v>9</v>
      </c>
      <c r="AV38" s="48">
        <f>Employees!AV14</f>
        <v>9</v>
      </c>
      <c r="AW38" s="48">
        <f>Employees!AW14</f>
        <v>9</v>
      </c>
      <c r="AX38" s="48">
        <f>Employees!AX14</f>
        <v>9</v>
      </c>
      <c r="AY38" s="48">
        <f>Employees!AY14</f>
        <v>9</v>
      </c>
      <c r="AZ38" s="48">
        <f>Employees!AZ14</f>
        <v>9</v>
      </c>
      <c r="BA38" s="48">
        <f>Employees!BA14</f>
        <v>9</v>
      </c>
      <c r="BB38" s="48">
        <f>Employees!BB14</f>
        <v>9</v>
      </c>
      <c r="BC38" s="48">
        <f>Employees!BC14</f>
        <v>9</v>
      </c>
      <c r="BD38" s="48">
        <f>Employees!BD14</f>
        <v>9</v>
      </c>
      <c r="BE38" s="48">
        <f>Employees!BE14</f>
        <v>10</v>
      </c>
      <c r="BF38" s="48">
        <f>Employees!BF14</f>
        <v>10</v>
      </c>
      <c r="BG38" s="48">
        <f>Employees!BG14</f>
        <v>10</v>
      </c>
      <c r="BH38" s="48">
        <f>Employees!BH14</f>
        <v>10</v>
      </c>
      <c r="BI38" s="48">
        <f>Employees!BI14</f>
        <v>10</v>
      </c>
      <c r="BJ38" s="48">
        <f>Employees!BJ14</f>
        <v>10</v>
      </c>
    </row>
    <row r="39" spans="1:62" s="19" customFormat="1" x14ac:dyDescent="0.2">
      <c r="B39" s="19" t="s">
        <v>118</v>
      </c>
      <c r="C39" s="35">
        <f>OpeningCashBalance</f>
        <v>1000000</v>
      </c>
      <c r="N39" s="35">
        <v>0</v>
      </c>
      <c r="O39" s="35">
        <f>SeriesAFunding</f>
        <v>2500000</v>
      </c>
    </row>
  </sheetData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J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" sqref="C5"/>
    </sheetView>
    <sheetView zoomScale="190" zoomScaleNormal="190" zoomScalePageLayoutView="160" workbookViewId="1">
      <pane xSplit="1" ySplit="2" topLeftCell="B3" activePane="bottomRight" state="frozen"/>
      <selection activeCell="C56" sqref="C56"/>
      <selection pane="topRight" activeCell="C56" sqref="C56"/>
      <selection pane="bottomLeft" activeCell="C56" sqref="C56"/>
      <selection pane="bottomRight" activeCell="D14" sqref="D14"/>
    </sheetView>
  </sheetViews>
  <sheetFormatPr baseColWidth="10" defaultRowHeight="16" x14ac:dyDescent="0.2"/>
  <cols>
    <col min="1" max="1" width="24.83203125" bestFit="1" customWidth="1"/>
    <col min="2" max="2" width="5.5" customWidth="1"/>
    <col min="3" max="35" width="14.5" bestFit="1" customWidth="1"/>
    <col min="36" max="55" width="15.5" bestFit="1" customWidth="1"/>
    <col min="56" max="59" width="16.6640625" bestFit="1" customWidth="1"/>
    <col min="60" max="62" width="16.83203125" bestFit="1" customWidth="1"/>
  </cols>
  <sheetData>
    <row r="1" spans="1:62" s="1" customFormat="1" x14ac:dyDescent="0.2">
      <c r="A1" s="1" t="s">
        <v>2</v>
      </c>
      <c r="C1" s="1" t="s">
        <v>0</v>
      </c>
    </row>
    <row r="2" spans="1:62" s="2" customFormat="1" x14ac:dyDescent="0.2">
      <c r="C2" s="60">
        <f>'Monthly Income Statement'!C2</f>
        <v>44211</v>
      </c>
      <c r="D2" s="60">
        <f>'Monthly Income Statement'!D2</f>
        <v>44241</v>
      </c>
      <c r="E2" s="60">
        <f>'Monthly Income Statement'!E2</f>
        <v>44271</v>
      </c>
      <c r="F2" s="60">
        <f>'Monthly Income Statement'!F2</f>
        <v>44301</v>
      </c>
      <c r="G2" s="60">
        <f>'Monthly Income Statement'!G2</f>
        <v>44331</v>
      </c>
      <c r="H2" s="60">
        <f>'Monthly Income Statement'!H2</f>
        <v>44361</v>
      </c>
      <c r="I2" s="60">
        <f>'Monthly Income Statement'!I2</f>
        <v>44391</v>
      </c>
      <c r="J2" s="60">
        <f>'Monthly Income Statement'!J2</f>
        <v>44421</v>
      </c>
      <c r="K2" s="60">
        <f>'Monthly Income Statement'!K2</f>
        <v>44451</v>
      </c>
      <c r="L2" s="60">
        <f>'Monthly Income Statement'!L2</f>
        <v>44481</v>
      </c>
      <c r="M2" s="60">
        <f>'Monthly Income Statement'!M2</f>
        <v>44511</v>
      </c>
      <c r="N2" s="60">
        <f>'Monthly Income Statement'!N2</f>
        <v>44541</v>
      </c>
      <c r="O2" s="60">
        <f>'Monthly Income Statement'!O2</f>
        <v>44571</v>
      </c>
      <c r="P2" s="60">
        <f>'Monthly Income Statement'!P2</f>
        <v>44601</v>
      </c>
      <c r="Q2" s="60">
        <f>'Monthly Income Statement'!Q2</f>
        <v>44631</v>
      </c>
      <c r="R2" s="60">
        <f>'Monthly Income Statement'!R2</f>
        <v>44661</v>
      </c>
      <c r="S2" s="60">
        <f>'Monthly Income Statement'!S2</f>
        <v>44691</v>
      </c>
      <c r="T2" s="60">
        <f>'Monthly Income Statement'!T2</f>
        <v>44721</v>
      </c>
      <c r="U2" s="60">
        <f>'Monthly Income Statement'!U2</f>
        <v>44751</v>
      </c>
      <c r="V2" s="60">
        <f>'Monthly Income Statement'!V2</f>
        <v>44781</v>
      </c>
      <c r="W2" s="60">
        <f>'Monthly Income Statement'!W2</f>
        <v>44811</v>
      </c>
      <c r="X2" s="60">
        <f>'Monthly Income Statement'!X2</f>
        <v>44841</v>
      </c>
      <c r="Y2" s="60">
        <f>'Monthly Income Statement'!Y2</f>
        <v>44871</v>
      </c>
      <c r="Z2" s="60">
        <f>'Monthly Income Statement'!Z2</f>
        <v>44901</v>
      </c>
      <c r="AA2" s="60">
        <f>'Monthly Income Statement'!AA2</f>
        <v>44941</v>
      </c>
      <c r="AB2" s="60">
        <f>'Monthly Income Statement'!AB2</f>
        <v>44971</v>
      </c>
      <c r="AC2" s="60">
        <f>'Monthly Income Statement'!AC2</f>
        <v>45001</v>
      </c>
      <c r="AD2" s="60">
        <f>'Monthly Income Statement'!AD2</f>
        <v>45031</v>
      </c>
      <c r="AE2" s="60">
        <f>'Monthly Income Statement'!AE2</f>
        <v>45061</v>
      </c>
      <c r="AF2" s="60">
        <f>'Monthly Income Statement'!AF2</f>
        <v>45091</v>
      </c>
      <c r="AG2" s="60">
        <f>'Monthly Income Statement'!AG2</f>
        <v>45121</v>
      </c>
      <c r="AH2" s="60">
        <f>'Monthly Income Statement'!AH2</f>
        <v>45151</v>
      </c>
      <c r="AI2" s="60">
        <f>'Monthly Income Statement'!AI2</f>
        <v>45181</v>
      </c>
      <c r="AJ2" s="60">
        <f>'Monthly Income Statement'!AJ2</f>
        <v>45211</v>
      </c>
      <c r="AK2" s="60">
        <f>'Monthly Income Statement'!AK2</f>
        <v>45241</v>
      </c>
      <c r="AL2" s="60">
        <f>'Monthly Income Statement'!AL2</f>
        <v>45271</v>
      </c>
      <c r="AM2" s="60">
        <f>'Monthly Income Statement'!AM2</f>
        <v>45301</v>
      </c>
      <c r="AN2" s="60">
        <f>'Monthly Income Statement'!AN2</f>
        <v>45331</v>
      </c>
      <c r="AO2" s="60">
        <f>'Monthly Income Statement'!AO2</f>
        <v>45361</v>
      </c>
      <c r="AP2" s="60">
        <f>'Monthly Income Statement'!AP2</f>
        <v>45391</v>
      </c>
      <c r="AQ2" s="60">
        <f>'Monthly Income Statement'!AQ2</f>
        <v>45421</v>
      </c>
      <c r="AR2" s="60">
        <f>'Monthly Income Statement'!AR2</f>
        <v>45451</v>
      </c>
      <c r="AS2" s="60">
        <f>'Monthly Income Statement'!AS2</f>
        <v>45481</v>
      </c>
      <c r="AT2" s="60">
        <f>'Monthly Income Statement'!AT2</f>
        <v>45511</v>
      </c>
      <c r="AU2" s="60">
        <f>'Monthly Income Statement'!AU2</f>
        <v>45541</v>
      </c>
      <c r="AV2" s="60">
        <f>'Monthly Income Statement'!AV2</f>
        <v>45571</v>
      </c>
      <c r="AW2" s="60">
        <f>'Monthly Income Statement'!AW2</f>
        <v>45601</v>
      </c>
      <c r="AX2" s="60">
        <f>'Monthly Income Statement'!AX2</f>
        <v>45631</v>
      </c>
      <c r="AY2" s="60">
        <f>'Monthly Income Statement'!AY2</f>
        <v>45672</v>
      </c>
      <c r="AZ2" s="60">
        <f>'Monthly Income Statement'!AZ2</f>
        <v>45702</v>
      </c>
      <c r="BA2" s="60">
        <f>'Monthly Income Statement'!BA2</f>
        <v>45732</v>
      </c>
      <c r="BB2" s="60">
        <f>'Monthly Income Statement'!BB2</f>
        <v>45762</v>
      </c>
      <c r="BC2" s="60">
        <f>'Monthly Income Statement'!BC2</f>
        <v>45792</v>
      </c>
      <c r="BD2" s="60">
        <f>'Monthly Income Statement'!BD2</f>
        <v>45822</v>
      </c>
      <c r="BE2" s="60">
        <f>'Monthly Income Statement'!BE2</f>
        <v>45852</v>
      </c>
      <c r="BF2" s="60">
        <f>'Monthly Income Statement'!BF2</f>
        <v>45882</v>
      </c>
      <c r="BG2" s="60">
        <f>'Monthly Income Statement'!BG2</f>
        <v>45912</v>
      </c>
      <c r="BH2" s="60">
        <f>'Monthly Income Statement'!BH2</f>
        <v>45942</v>
      </c>
      <c r="BI2" s="60">
        <f>'Monthly Income Statement'!BI2</f>
        <v>45972</v>
      </c>
      <c r="BJ2" s="60">
        <f>'Monthly Income Statement'!BJ2</f>
        <v>46002</v>
      </c>
    </row>
    <row r="3" spans="1:62" x14ac:dyDescent="0.2">
      <c r="A3" t="s">
        <v>98</v>
      </c>
      <c r="C3" s="64"/>
      <c r="D3" s="65"/>
      <c r="E3" s="65"/>
      <c r="F3" s="65"/>
      <c r="G3" s="65"/>
    </row>
    <row r="4" spans="1:62" x14ac:dyDescent="0.2">
      <c r="A4" s="26" t="s">
        <v>99</v>
      </c>
      <c r="C4" s="64">
        <f>'Monthly Cash Flow'!C27</f>
        <v>967395.34207833337</v>
      </c>
      <c r="D4" s="64">
        <f>'Monthly Cash Flow'!D27</f>
        <v>928367.55163566675</v>
      </c>
      <c r="E4" s="64">
        <f>'Monthly Cash Flow'!E27</f>
        <v>883581.48974880006</v>
      </c>
      <c r="F4" s="64">
        <f>'Monthly Cash Flow'!F27</f>
        <v>802868.5053202667</v>
      </c>
      <c r="G4" s="64">
        <f>'Monthly Cash Flow'!G27</f>
        <v>699900.31405093335</v>
      </c>
      <c r="H4" s="30">
        <f>'Monthly Cash Flow'!H27</f>
        <v>622416.56216000952</v>
      </c>
      <c r="I4" s="30">
        <f>'Monthly Cash Flow'!I27</f>
        <v>541334.08593449055</v>
      </c>
      <c r="J4" s="30">
        <f>'Monthly Cash Flow'!J27</f>
        <v>461839.4080304227</v>
      </c>
      <c r="K4" s="30">
        <f>'Monthly Cash Flow'!K27</f>
        <v>383898.99852101807</v>
      </c>
      <c r="L4" s="30">
        <f>'Monthly Cash Flow'!L27</f>
        <v>307521.53473285504</v>
      </c>
      <c r="M4" s="30">
        <f>'Monthly Cash Flow'!M27</f>
        <v>232684.67141503427</v>
      </c>
      <c r="N4" s="30">
        <f>'Monthly Cash Flow'!N27</f>
        <v>159382.60161276936</v>
      </c>
      <c r="O4" s="30">
        <f>'Monthly Cash Flow'!O27</f>
        <v>2583127.515500918</v>
      </c>
      <c r="P4" s="30">
        <f>'Monthly Cash Flow'!P27</f>
        <v>2491482.0682445704</v>
      </c>
      <c r="Q4" s="30">
        <f>'Monthly Cash Flow'!Q27</f>
        <v>2411316.8279556818</v>
      </c>
      <c r="R4" s="30">
        <f>'Monthly Cash Flow'!R27</f>
        <v>2332647.997786175</v>
      </c>
      <c r="S4" s="30">
        <f>'Monthly Cash Flow'!S27</f>
        <v>2255444.7750661331</v>
      </c>
      <c r="T4" s="30">
        <f>'Monthly Cash Flow'!T27</f>
        <v>2179701.7425971497</v>
      </c>
      <c r="U4" s="30">
        <f>'Monthly Cash Flow'!U27</f>
        <v>2105385.0454893899</v>
      </c>
      <c r="V4" s="30">
        <f>'Monthly Cash Flow'!V27</f>
        <v>2032529.7958919292</v>
      </c>
      <c r="W4" s="30">
        <f>'Monthly Cash Flow'!W27</f>
        <v>1961141.1926228614</v>
      </c>
      <c r="X4" s="30">
        <f>'Monthly Cash Flow'!X27</f>
        <v>1893185.7975410144</v>
      </c>
      <c r="Y4" s="30">
        <f>'Monthly Cash Flow'!Y27</f>
        <v>1809574.2733272577</v>
      </c>
      <c r="Z4" s="30">
        <f>'Monthly Cash Flow'!Z27</f>
        <v>1737182.1864295746</v>
      </c>
      <c r="AA4" s="30">
        <f>'Monthly Cash Flow'!AA27</f>
        <v>1666026.0096452709</v>
      </c>
      <c r="AB4" s="30">
        <f>'Monthly Cash Flow'!AB27</f>
        <v>1596082.2645795217</v>
      </c>
      <c r="AC4" s="30">
        <f>'Monthly Cash Flow'!AC27</f>
        <v>1527359.62526564</v>
      </c>
      <c r="AD4" s="30">
        <f>'Monthly Cash Flow'!AD27</f>
        <v>1459886.4020089833</v>
      </c>
      <c r="AE4" s="30">
        <f>'Monthly Cash Flow'!AE27</f>
        <v>1393671.8346537694</v>
      </c>
      <c r="AF4" s="30">
        <f>'Monthly Cash Flow'!AF27</f>
        <v>1328730.9957230953</v>
      </c>
      <c r="AG4" s="30">
        <f>'Monthly Cash Flow'!AG27</f>
        <v>1265064.4593613809</v>
      </c>
      <c r="AH4" s="30">
        <f>'Monthly Cash Flow'!AH27</f>
        <v>1202739.0183116177</v>
      </c>
      <c r="AI4" s="30">
        <f>'Monthly Cash Flow'!AI27</f>
        <v>1141772.5765253459</v>
      </c>
      <c r="AJ4" s="30">
        <f>'Monthly Cash Flow'!AJ27</f>
        <v>1082221.7664977619</v>
      </c>
      <c r="AK4" s="30">
        <f>'Monthly Cash Flow'!AK27</f>
        <v>1024156.3611124086</v>
      </c>
      <c r="AL4" s="30">
        <f>'Monthly Cash Flow'!AL27</f>
        <v>967606.3040748504</v>
      </c>
      <c r="AM4" s="30">
        <f>'Monthly Cash Flow'!AM27</f>
        <v>912678.99435189681</v>
      </c>
      <c r="AN4" s="30">
        <f>'Monthly Cash Flow'!AN27</f>
        <v>859438.72200459975</v>
      </c>
      <c r="AO4" s="30">
        <f>'Monthly Cash Flow'!AO27</f>
        <v>807982.3464337734</v>
      </c>
      <c r="AP4" s="30">
        <f>'Monthly Cash Flow'!AP27</f>
        <v>758422.11198333325</v>
      </c>
      <c r="AQ4" s="30">
        <f>'Monthly Cash Flow'!AQ27</f>
        <v>710881.94108536292</v>
      </c>
      <c r="AR4" s="30">
        <f>'Monthly Cash Flow'!AR27</f>
        <v>665539.52977189037</v>
      </c>
      <c r="AS4" s="30">
        <f>'Monthly Cash Flow'!AS27</f>
        <v>622511.69050596934</v>
      </c>
      <c r="AT4" s="30">
        <f>'Monthly Cash Flow'!AT27</f>
        <v>581981.57871523313</v>
      </c>
      <c r="AU4" s="30">
        <f>'Monthly Cash Flow'!AU27</f>
        <v>544186.8161646825</v>
      </c>
      <c r="AV4" s="30">
        <f>'Monthly Cash Flow'!AV27</f>
        <v>509317.77633050794</v>
      </c>
      <c r="AW4" s="30">
        <f>'Monthly Cash Flow'!AW27</f>
        <v>477640.72317778622</v>
      </c>
      <c r="AX4" s="30">
        <f>'Monthly Cash Flow'!AX27</f>
        <v>449441.84555348667</v>
      </c>
      <c r="AY4" s="30">
        <f>'Monthly Cash Flow'!AY27</f>
        <v>425023.06776525558</v>
      </c>
      <c r="AZ4" s="30">
        <f>'Monthly Cash Flow'!AZ27</f>
        <v>404731.60757590859</v>
      </c>
      <c r="BA4" s="30">
        <f>'Monthly Cash Flow'!BA27</f>
        <v>388968.02402972645</v>
      </c>
      <c r="BB4" s="30">
        <f>'Monthly Cash Flow'!BB27</f>
        <v>378142.96144494438</v>
      </c>
      <c r="BC4" s="30">
        <f>'Monthly Cash Flow'!BC27</f>
        <v>372769.2829138806</v>
      </c>
      <c r="BD4" s="30">
        <f>'Monthly Cash Flow'!BD27</f>
        <v>373402.68523050117</v>
      </c>
      <c r="BE4" s="30">
        <f>'Monthly Cash Flow'!BE27</f>
        <v>382389.99876629323</v>
      </c>
      <c r="BF4" s="30">
        <f>'Monthly Cash Flow'!BF27</f>
        <v>381750.31658016244</v>
      </c>
      <c r="BG4" s="30">
        <f>'Monthly Cash Flow'!BG27</f>
        <v>399144.66938223544</v>
      </c>
      <c r="BH4" s="30">
        <f>'Monthly Cash Flow'!BH27</f>
        <v>425389.43361846078</v>
      </c>
      <c r="BI4" s="30">
        <f>'Monthly Cash Flow'!BI27</f>
        <v>461409.25233874848</v>
      </c>
      <c r="BJ4" s="30">
        <f>'Monthly Cash Flow'!BJ27</f>
        <v>508209.55627352936</v>
      </c>
    </row>
    <row r="5" spans="1:62" x14ac:dyDescent="0.2">
      <c r="A5" s="26" t="s">
        <v>100</v>
      </c>
      <c r="C5" s="64">
        <v>3556</v>
      </c>
      <c r="D5" s="64">
        <v>3899</v>
      </c>
      <c r="E5" s="64">
        <v>4355</v>
      </c>
      <c r="F5" s="64">
        <v>4907</v>
      </c>
      <c r="G5" s="64">
        <v>22456</v>
      </c>
      <c r="H5" s="30">
        <f>AverageARDays/30*'Monthly Income Statement'!H8</f>
        <v>27249.531166220801</v>
      </c>
      <c r="I5" s="30">
        <f>AverageARDays/30*'Monthly Income Statement'!I8</f>
        <v>32198.760814729329</v>
      </c>
      <c r="J5" s="30">
        <f>AverageARDays/30*'Monthly Income Statement'!J8</f>
        <v>36990.022123542345</v>
      </c>
      <c r="K5" s="30">
        <f>AverageARDays/30*'Monthly Income Statement'!K8</f>
        <v>41729.044919540895</v>
      </c>
      <c r="L5" s="30">
        <f>AverageARDays/30*'Monthly Income Statement'!L8</f>
        <v>46333.799381801684</v>
      </c>
      <c r="M5" s="30">
        <f>AverageARDays/30*'Monthly Income Statement'!M8</f>
        <v>50853.046254275563</v>
      </c>
      <c r="N5" s="30">
        <f>AverageARDays/30*'Monthly Income Statement'!N8</f>
        <v>55234.763611543654</v>
      </c>
      <c r="O5" s="30">
        <f>AverageARDays/30*'Monthly Income Statement'!O8</f>
        <v>59556.068362502258</v>
      </c>
      <c r="P5" s="30">
        <f>AverageARDays/30*'Monthly Income Statement'!P8</f>
        <v>63773.161809070065</v>
      </c>
      <c r="Q5" s="30">
        <f>AverageARDays/30*'Monthly Income Statement'!Q8</f>
        <v>67970.279867998703</v>
      </c>
      <c r="R5" s="30">
        <f>AverageARDays/30*'Monthly Income Statement'!R8</f>
        <v>72021.368869752478</v>
      </c>
      <c r="S5" s="30">
        <f>AverageARDays/30*'Monthly Income Statement'!S8</f>
        <v>76042.550443049491</v>
      </c>
      <c r="T5" s="30">
        <f>AverageARDays/30*'Monthly Income Statement'!T8</f>
        <v>79947.692007762686</v>
      </c>
      <c r="U5" s="30">
        <f>AverageARDays/30*'Monthly Income Statement'!U8</f>
        <v>83901.722279060836</v>
      </c>
      <c r="V5" s="30">
        <f>AverageARDays/30*'Monthly Income Statement'!V8</f>
        <v>87838.876113281061</v>
      </c>
      <c r="W5" s="30">
        <f>AverageARDays/30*'Monthly Income Statement'!W8</f>
        <v>91744.057565986062</v>
      </c>
      <c r="X5" s="30">
        <f>AverageARDays/30*'Monthly Income Statement'!X8</f>
        <v>95375.827441140995</v>
      </c>
      <c r="Y5" s="30">
        <f>AverageARDays/30*'Monthly Income Statement'!Y8</f>
        <v>98956.104852935634</v>
      </c>
      <c r="Z5" s="30">
        <f>AverageARDays/30*'Monthly Income Statement'!Z8</f>
        <v>102575.07430335179</v>
      </c>
      <c r="AA5" s="30">
        <f>AverageARDays/30*'Monthly Income Statement'!AA8</f>
        <v>106145.7752963797</v>
      </c>
      <c r="AB5" s="30">
        <f>AverageARDays/30*'Monthly Income Statement'!AB8</f>
        <v>109760.72215825706</v>
      </c>
      <c r="AC5" s="30">
        <f>AverageARDays/30*'Monthly Income Statement'!AC8</f>
        <v>113458.47472380292</v>
      </c>
      <c r="AD5" s="30">
        <f>AverageARDays/30*'Monthly Income Statement'!AD8</f>
        <v>117183.51648949836</v>
      </c>
      <c r="AE5" s="30">
        <f>AverageARDays/30*'Monthly Income Statement'!AE8</f>
        <v>120963.11344757542</v>
      </c>
      <c r="AF5" s="30">
        <f>AverageARDays/30*'Monthly Income Statement'!AF8</f>
        <v>124774.08526814186</v>
      </c>
      <c r="AG5" s="30">
        <f>AverageARDays/30*'Monthly Income Statement'!AG8</f>
        <v>128778.68016631099</v>
      </c>
      <c r="AH5" s="30">
        <f>AverageARDays/30*'Monthly Income Statement'!AH8</f>
        <v>132856.14209071931</v>
      </c>
      <c r="AI5" s="30">
        <f>AverageARDays/30*'Monthly Income Statement'!AI8</f>
        <v>137108.09595756349</v>
      </c>
      <c r="AJ5" s="30">
        <f>AverageARDays/30*'Monthly Income Statement'!AJ8</f>
        <v>141572.51360811797</v>
      </c>
      <c r="AK5" s="30">
        <f>AverageARDays/30*'Monthly Income Statement'!AK8</f>
        <v>146156.02677692386</v>
      </c>
      <c r="AL5" s="30">
        <f>AverageARDays/30*'Monthly Income Statement'!AL8</f>
        <v>151070.20320180402</v>
      </c>
      <c r="AM5" s="30">
        <f>AverageARDays/30*'Monthly Income Statement'!AM8</f>
        <v>156184.01176558089</v>
      </c>
      <c r="AN5" s="30">
        <f>AverageARDays/30*'Monthly Income Statement'!AN8</f>
        <v>161610.55687551771</v>
      </c>
      <c r="AO5" s="30">
        <f>AverageARDays/30*'Monthly Income Statement'!AO8</f>
        <v>167395.05453919858</v>
      </c>
      <c r="AP5" s="30">
        <f>AverageARDays/30*'Monthly Income Statement'!AP8</f>
        <v>173583.15210163654</v>
      </c>
      <c r="AQ5" s="30">
        <f>AverageARDays/30*'Monthly Income Statement'!AQ8</f>
        <v>180298.22895224116</v>
      </c>
      <c r="AR5" s="30">
        <f>AverageARDays/30*'Monthly Income Statement'!AR8</f>
        <v>187399.30518599771</v>
      </c>
      <c r="AS5" s="30">
        <f>AverageARDays/30*'Monthly Income Statement'!AS8</f>
        <v>195089.58804313585</v>
      </c>
      <c r="AT5" s="30">
        <f>AverageARDays/30*'Monthly Income Statement'!AT8</f>
        <v>203503.4383387212</v>
      </c>
      <c r="AU5" s="30">
        <f>AverageARDays/30*'Monthly Income Statement'!AU8</f>
        <v>212531.49581085166</v>
      </c>
      <c r="AV5" s="30">
        <f>AverageARDays/30*'Monthly Income Statement'!AV8</f>
        <v>222393.28591696036</v>
      </c>
      <c r="AW5" s="30">
        <f>AverageARDays/30*'Monthly Income Statement'!AW8</f>
        <v>233148.4634039079</v>
      </c>
      <c r="AX5" s="30">
        <f>AverageARDays/30*'Monthly Income Statement'!AX8</f>
        <v>244857.67547321055</v>
      </c>
      <c r="AY5" s="30">
        <f>AverageARDays/30*'Monthly Income Statement'!AY8</f>
        <v>257673.15775098541</v>
      </c>
      <c r="AZ5" s="30">
        <f>AverageARDays/30*'Monthly Income Statement'!AZ8</f>
        <v>271732.06504515774</v>
      </c>
      <c r="BA5" s="30">
        <f>AverageARDays/30*'Monthly Income Statement'!BA8</f>
        <v>287103.90695078828</v>
      </c>
      <c r="BB5" s="30">
        <f>AverageARDays/30*'Monthly Income Statement'!BB8</f>
        <v>304086.25343044254</v>
      </c>
      <c r="BC5" s="30">
        <f>AverageARDays/30*'Monthly Income Statement'!BC8</f>
        <v>322797.43145452614</v>
      </c>
      <c r="BD5" s="30">
        <f>AverageARDays/30*'Monthly Income Statement'!BD8</f>
        <v>343323.21983743139</v>
      </c>
      <c r="BE5" s="30">
        <f>AverageARDays/30*'Monthly Income Statement'!BE8</f>
        <v>366058.83970370976</v>
      </c>
      <c r="BF5" s="30">
        <f>AverageARDays/30*'Monthly Income Statement'!BF8</f>
        <v>391175.388878992</v>
      </c>
      <c r="BG5" s="30">
        <f>AverageARDays/30*'Monthly Income Statement'!BG8</f>
        <v>418883.74195235537</v>
      </c>
      <c r="BH5" s="30">
        <f>AverageARDays/30*'Monthly Income Statement'!BH8</f>
        <v>449509.47039781243</v>
      </c>
      <c r="BI5" s="30">
        <f>AverageARDays/30*'Monthly Income Statement'!BI8</f>
        <v>483355.43046907306</v>
      </c>
      <c r="BJ5" s="30">
        <f>AverageARDays/30*'Monthly Income Statement'!BJ8</f>
        <v>520952.84957641811</v>
      </c>
    </row>
    <row r="6" spans="1:62" x14ac:dyDescent="0.2">
      <c r="A6" s="26" t="s">
        <v>101</v>
      </c>
      <c r="C6" s="64">
        <v>3452</v>
      </c>
      <c r="D6" s="64">
        <v>3976</v>
      </c>
      <c r="E6" s="64">
        <v>4452</v>
      </c>
      <c r="F6" s="64">
        <v>4871</v>
      </c>
      <c r="G6" s="64">
        <v>18735</v>
      </c>
      <c r="H6" s="1">
        <f>InventoryDaysOnHand/30*'Monthly Income Statement'!H8*(1-SubscriptionMargin)</f>
        <v>20437.148374665601</v>
      </c>
      <c r="I6" s="1">
        <f>InventoryDaysOnHand/30*'Monthly Income Statement'!I8*(1-SubscriptionMargin)</f>
        <v>24149.070611046998</v>
      </c>
      <c r="J6" s="1">
        <f>InventoryDaysOnHand/30*'Monthly Income Statement'!J8*(1-SubscriptionMargin)</f>
        <v>27742.516592656757</v>
      </c>
      <c r="K6" s="1">
        <f>InventoryDaysOnHand/30*'Monthly Income Statement'!K8*(1-SubscriptionMargin)</f>
        <v>31296.783689655669</v>
      </c>
      <c r="L6" s="1">
        <f>InventoryDaysOnHand/30*'Monthly Income Statement'!L8*(1-SubscriptionMargin)</f>
        <v>34750.349536351263</v>
      </c>
      <c r="M6" s="1">
        <f>InventoryDaysOnHand/30*'Monthly Income Statement'!M8*(1-SubscriptionMargin)</f>
        <v>38139.784690706671</v>
      </c>
      <c r="N6" s="1">
        <f>InventoryDaysOnHand/30*'Monthly Income Statement'!N8*(1-SubscriptionMargin)</f>
        <v>41426.072708657739</v>
      </c>
      <c r="O6" s="1">
        <f>InventoryDaysOnHand/30*'Monthly Income Statement'!O8*(1-SubscriptionMargin)</f>
        <v>44667.051271876691</v>
      </c>
      <c r="P6" s="1">
        <f>InventoryDaysOnHand/30*'Monthly Income Statement'!P8*(1-SubscriptionMargin)</f>
        <v>47829.871356802549</v>
      </c>
      <c r="Q6" s="1">
        <f>InventoryDaysOnHand/30*'Monthly Income Statement'!Q8*(1-SubscriptionMargin)</f>
        <v>50977.709900999027</v>
      </c>
      <c r="R6" s="1">
        <f>InventoryDaysOnHand/30*'Monthly Income Statement'!R8*(1-SubscriptionMargin)</f>
        <v>54016.026652314358</v>
      </c>
      <c r="S6" s="1">
        <f>InventoryDaysOnHand/30*'Monthly Income Statement'!S8*(1-SubscriptionMargin)</f>
        <v>57031.912832287118</v>
      </c>
      <c r="T6" s="1">
        <f>InventoryDaysOnHand/30*'Monthly Income Statement'!T8*(1-SubscriptionMargin)</f>
        <v>59960.769005822018</v>
      </c>
      <c r="U6" s="1">
        <f>InventoryDaysOnHand/30*'Monthly Income Statement'!U8*(1-SubscriptionMargin)</f>
        <v>62926.291709295627</v>
      </c>
      <c r="V6" s="1">
        <f>InventoryDaysOnHand/30*'Monthly Income Statement'!V8*(1-SubscriptionMargin)</f>
        <v>65879.157084960796</v>
      </c>
      <c r="W6" s="1">
        <f>InventoryDaysOnHand/30*'Monthly Income Statement'!W8*(1-SubscriptionMargin)</f>
        <v>68808.043174489547</v>
      </c>
      <c r="X6" s="1">
        <f>InventoryDaysOnHand/30*'Monthly Income Statement'!X8*(1-SubscriptionMargin)</f>
        <v>71531.870580855742</v>
      </c>
      <c r="Y6" s="1">
        <f>InventoryDaysOnHand/30*'Monthly Income Statement'!Y8*(1-SubscriptionMargin)</f>
        <v>74217.078639701722</v>
      </c>
      <c r="Z6" s="1">
        <f>InventoryDaysOnHand/30*'Monthly Income Statement'!Z8*(1-SubscriptionMargin)</f>
        <v>76931.305727513842</v>
      </c>
      <c r="AA6" s="1">
        <f>InventoryDaysOnHand/30*'Monthly Income Statement'!AA8*(1-SubscriptionMargin)</f>
        <v>79609.331472284772</v>
      </c>
      <c r="AB6" s="1">
        <f>InventoryDaysOnHand/30*'Monthly Income Statement'!AB8*(1-SubscriptionMargin)</f>
        <v>82320.541618692805</v>
      </c>
      <c r="AC6" s="1">
        <f>InventoryDaysOnHand/30*'Monthly Income Statement'!AC8*(1-SubscriptionMargin)</f>
        <v>85093.856042852189</v>
      </c>
      <c r="AD6" s="1">
        <f>InventoryDaysOnHand/30*'Monthly Income Statement'!AD8*(1-SubscriptionMargin)</f>
        <v>87887.637367123767</v>
      </c>
      <c r="AE6" s="1">
        <f>InventoryDaysOnHand/30*'Monthly Income Statement'!AE8*(1-SubscriptionMargin)</f>
        <v>90722.335085681567</v>
      </c>
      <c r="AF6" s="1">
        <f>InventoryDaysOnHand/30*'Monthly Income Statement'!AF8*(1-SubscriptionMargin)</f>
        <v>93580.563951106393</v>
      </c>
      <c r="AG6" s="1">
        <f>InventoryDaysOnHand/30*'Monthly Income Statement'!AG8*(1-SubscriptionMargin)</f>
        <v>96584.01012473325</v>
      </c>
      <c r="AH6" s="1">
        <f>InventoryDaysOnHand/30*'Monthly Income Statement'!AH8*(1-SubscriptionMargin)</f>
        <v>99642.106568039482</v>
      </c>
      <c r="AI6" s="1">
        <f>InventoryDaysOnHand/30*'Monthly Income Statement'!AI8*(1-SubscriptionMargin)</f>
        <v>102831.07196817262</v>
      </c>
      <c r="AJ6" s="1">
        <f>InventoryDaysOnHand/30*'Monthly Income Statement'!AJ8*(1-SubscriptionMargin)</f>
        <v>106179.38520608848</v>
      </c>
      <c r="AK6" s="1">
        <f>InventoryDaysOnHand/30*'Monthly Income Statement'!AK8*(1-SubscriptionMargin)</f>
        <v>109617.02008269289</v>
      </c>
      <c r="AL6" s="1">
        <f>InventoryDaysOnHand/30*'Monthly Income Statement'!AL8*(1-SubscriptionMargin)</f>
        <v>113302.65240135301</v>
      </c>
      <c r="AM6" s="1">
        <f>InventoryDaysOnHand/30*'Monthly Income Statement'!AM8*(1-SubscriptionMargin)</f>
        <v>117138.00882418567</v>
      </c>
      <c r="AN6" s="1">
        <f>InventoryDaysOnHand/30*'Monthly Income Statement'!AN8*(1-SubscriptionMargin)</f>
        <v>121207.91765663828</v>
      </c>
      <c r="AO6" s="1">
        <f>InventoryDaysOnHand/30*'Monthly Income Statement'!AO8*(1-SubscriptionMargin)</f>
        <v>125546.29090439893</v>
      </c>
      <c r="AP6" s="1">
        <f>InventoryDaysOnHand/30*'Monthly Income Statement'!AP8*(1-SubscriptionMargin)</f>
        <v>130187.36407622742</v>
      </c>
      <c r="AQ6" s="1">
        <f>InventoryDaysOnHand/30*'Monthly Income Statement'!AQ8*(1-SubscriptionMargin)</f>
        <v>135223.67171418088</v>
      </c>
      <c r="AR6" s="1">
        <f>InventoryDaysOnHand/30*'Monthly Income Statement'!AR8*(1-SubscriptionMargin)</f>
        <v>140549.47888949828</v>
      </c>
      <c r="AS6" s="1">
        <f>InventoryDaysOnHand/30*'Monthly Income Statement'!AS8*(1-SubscriptionMargin)</f>
        <v>146317.1910323519</v>
      </c>
      <c r="AT6" s="1">
        <f>InventoryDaysOnHand/30*'Monthly Income Statement'!AT8*(1-SubscriptionMargin)</f>
        <v>152627.57875404091</v>
      </c>
      <c r="AU6" s="1">
        <f>InventoryDaysOnHand/30*'Monthly Income Statement'!AU8*(1-SubscriptionMargin)</f>
        <v>159398.62185813874</v>
      </c>
      <c r="AV6" s="1">
        <f>InventoryDaysOnHand/30*'Monthly Income Statement'!AV8*(1-SubscriptionMargin)</f>
        <v>166794.96443772028</v>
      </c>
      <c r="AW6" s="1">
        <f>InventoryDaysOnHand/30*'Monthly Income Statement'!AW8*(1-SubscriptionMargin)</f>
        <v>174861.34755293094</v>
      </c>
      <c r="AX6" s="1">
        <f>InventoryDaysOnHand/30*'Monthly Income Statement'!AX8*(1-SubscriptionMargin)</f>
        <v>183643.25660490792</v>
      </c>
      <c r="AY6" s="1">
        <f>InventoryDaysOnHand/30*'Monthly Income Statement'!AY8*(1-SubscriptionMargin)</f>
        <v>193254.86831323907</v>
      </c>
      <c r="AZ6" s="1">
        <f>InventoryDaysOnHand/30*'Monthly Income Statement'!AZ8*(1-SubscriptionMargin)</f>
        <v>203799.04878386832</v>
      </c>
      <c r="BA6" s="1">
        <f>InventoryDaysOnHand/30*'Monthly Income Statement'!BA8*(1-SubscriptionMargin)</f>
        <v>215327.9302130912</v>
      </c>
      <c r="BB6" s="1">
        <f>InventoryDaysOnHand/30*'Monthly Income Statement'!BB8*(1-SubscriptionMargin)</f>
        <v>228064.6900728319</v>
      </c>
      <c r="BC6" s="1">
        <f>InventoryDaysOnHand/30*'Monthly Income Statement'!BC8*(1-SubscriptionMargin)</f>
        <v>242098.07359089461</v>
      </c>
      <c r="BD6" s="1">
        <f>InventoryDaysOnHand/30*'Monthly Income Statement'!BD8*(1-SubscriptionMargin)</f>
        <v>257492.41487807356</v>
      </c>
      <c r="BE6" s="1">
        <f>InventoryDaysOnHand/30*'Monthly Income Statement'!BE8*(1-SubscriptionMargin)</f>
        <v>274544.12977778231</v>
      </c>
      <c r="BF6" s="1">
        <f>InventoryDaysOnHand/30*'Monthly Income Statement'!BF8*(1-SubscriptionMargin)</f>
        <v>293381.54165924399</v>
      </c>
      <c r="BG6" s="1">
        <f>InventoryDaysOnHand/30*'Monthly Income Statement'!BG8*(1-SubscriptionMargin)</f>
        <v>314162.8064642665</v>
      </c>
      <c r="BH6" s="1">
        <f>InventoryDaysOnHand/30*'Monthly Income Statement'!BH8*(1-SubscriptionMargin)</f>
        <v>337132.10279835935</v>
      </c>
      <c r="BI6" s="1">
        <f>InventoryDaysOnHand/30*'Monthly Income Statement'!BI8*(1-SubscriptionMargin)</f>
        <v>362516.57285180478</v>
      </c>
      <c r="BJ6" s="1">
        <f>InventoryDaysOnHand/30*'Monthly Income Statement'!BJ8*(1-SubscriptionMargin)</f>
        <v>390714.6371823136</v>
      </c>
    </row>
    <row r="7" spans="1:62" x14ac:dyDescent="0.2">
      <c r="A7" s="26" t="s">
        <v>102</v>
      </c>
      <c r="C7" s="64"/>
      <c r="D7" s="64"/>
      <c r="E7" s="64"/>
      <c r="F7" s="64"/>
      <c r="G7" s="6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x14ac:dyDescent="0.2">
      <c r="A8" s="26" t="s">
        <v>103</v>
      </c>
      <c r="C8" s="64"/>
      <c r="D8" s="64"/>
      <c r="E8" s="64"/>
      <c r="F8" s="64"/>
      <c r="G8" s="6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s="19" customFormat="1" x14ac:dyDescent="0.2">
      <c r="A9" s="34" t="s">
        <v>104</v>
      </c>
      <c r="C9" s="23">
        <f t="shared" ref="C9:D9" si="0">SUM(C4:C8)</f>
        <v>974403.34207833337</v>
      </c>
      <c r="D9" s="23">
        <f t="shared" si="0"/>
        <v>936242.55163566675</v>
      </c>
      <c r="E9" s="23">
        <f t="shared" ref="E9:H9" si="1">SUM(E4:E8)</f>
        <v>892388.48974880006</v>
      </c>
      <c r="F9" s="23">
        <f t="shared" si="1"/>
        <v>812646.5053202667</v>
      </c>
      <c r="G9" s="23">
        <f t="shared" si="1"/>
        <v>741091.31405093335</v>
      </c>
      <c r="H9" s="23">
        <f t="shared" si="1"/>
        <v>670103.24170089595</v>
      </c>
      <c r="I9" s="23">
        <f t="shared" ref="I9" si="2">SUM(I4:I8)</f>
        <v>597681.9173602669</v>
      </c>
      <c r="J9" s="23">
        <f t="shared" ref="J9" si="3">SUM(J4:J8)</f>
        <v>526571.94674662175</v>
      </c>
      <c r="K9" s="23">
        <f t="shared" ref="K9" si="4">SUM(K4:K8)</f>
        <v>456924.8271302146</v>
      </c>
      <c r="L9" s="23">
        <f t="shared" ref="L9" si="5">SUM(L4:L8)</f>
        <v>388605.683651008</v>
      </c>
      <c r="M9" s="23">
        <f t="shared" ref="M9" si="6">SUM(M4:M8)</f>
        <v>321677.50236001646</v>
      </c>
      <c r="N9" s="23">
        <f t="shared" ref="N9" si="7">SUM(N4:N8)</f>
        <v>256043.43793297076</v>
      </c>
      <c r="O9" s="23">
        <f t="shared" ref="O9" si="8">SUM(O4:O8)</f>
        <v>2687350.6351352972</v>
      </c>
      <c r="P9" s="23">
        <f t="shared" ref="P9" si="9">SUM(P4:P8)</f>
        <v>2603085.101410443</v>
      </c>
      <c r="Q9" s="23">
        <f t="shared" ref="Q9" si="10">SUM(Q4:Q8)</f>
        <v>2530264.8177246796</v>
      </c>
      <c r="R9" s="23">
        <f t="shared" ref="R9" si="11">SUM(R4:R8)</f>
        <v>2458685.3933082419</v>
      </c>
      <c r="S9" s="23">
        <f t="shared" ref="S9" si="12">SUM(S4:S8)</f>
        <v>2388519.2383414698</v>
      </c>
      <c r="T9" s="23">
        <f t="shared" ref="T9" si="13">SUM(T4:T8)</f>
        <v>2319610.2036107345</v>
      </c>
      <c r="U9" s="23">
        <f t="shared" ref="U9" si="14">SUM(U4:U8)</f>
        <v>2252213.059477746</v>
      </c>
      <c r="V9" s="23">
        <f t="shared" ref="V9" si="15">SUM(V4:V8)</f>
        <v>2186247.829090171</v>
      </c>
      <c r="W9" s="23">
        <f t="shared" ref="W9" si="16">SUM(W4:W8)</f>
        <v>2121693.2933633369</v>
      </c>
      <c r="X9" s="23">
        <f t="shared" ref="X9" si="17">SUM(X4:X8)</f>
        <v>2060093.4955630112</v>
      </c>
      <c r="Y9" s="23">
        <f t="shared" ref="Y9" si="18">SUM(Y4:Y8)</f>
        <v>1982747.456819895</v>
      </c>
      <c r="Z9" s="23">
        <f t="shared" ref="Z9" si="19">SUM(Z4:Z8)</f>
        <v>1916688.5664604402</v>
      </c>
      <c r="AA9" s="23">
        <f t="shared" ref="AA9" si="20">SUM(AA4:AA8)</f>
        <v>1851781.1164139353</v>
      </c>
      <c r="AB9" s="23">
        <f t="shared" ref="AB9" si="21">SUM(AB4:AB8)</f>
        <v>1788163.5283564716</v>
      </c>
      <c r="AC9" s="23">
        <f t="shared" ref="AC9" si="22">SUM(AC4:AC8)</f>
        <v>1725911.956032295</v>
      </c>
      <c r="AD9" s="23">
        <f t="shared" ref="AD9" si="23">SUM(AD4:AD8)</f>
        <v>1664957.5558656054</v>
      </c>
      <c r="AE9" s="23">
        <f t="shared" ref="AE9" si="24">SUM(AE4:AE8)</f>
        <v>1605357.2831870264</v>
      </c>
      <c r="AF9" s="23">
        <f t="shared" ref="AF9" si="25">SUM(AF4:AF8)</f>
        <v>1547085.6449423437</v>
      </c>
      <c r="AG9" s="23">
        <f t="shared" ref="AG9" si="26">SUM(AG4:AG8)</f>
        <v>1490427.1496524252</v>
      </c>
      <c r="AH9" s="23">
        <f t="shared" ref="AH9" si="27">SUM(AH4:AH8)</f>
        <v>1435237.2669703765</v>
      </c>
      <c r="AI9" s="23">
        <f t="shared" ref="AI9" si="28">SUM(AI4:AI8)</f>
        <v>1381711.7444510821</v>
      </c>
      <c r="AJ9" s="23">
        <f t="shared" ref="AJ9" si="29">SUM(AJ4:AJ8)</f>
        <v>1329973.6653119684</v>
      </c>
      <c r="AK9" s="23">
        <f t="shared" ref="AK9" si="30">SUM(AK4:AK8)</f>
        <v>1279929.4079720252</v>
      </c>
      <c r="AL9" s="23">
        <f t="shared" ref="AL9" si="31">SUM(AL4:AL8)</f>
        <v>1231979.1596780075</v>
      </c>
      <c r="AM9" s="23">
        <f t="shared" ref="AM9" si="32">SUM(AM4:AM8)</f>
        <v>1186001.0149416635</v>
      </c>
      <c r="AN9" s="23">
        <f t="shared" ref="AN9" si="33">SUM(AN4:AN8)</f>
        <v>1142257.1965367557</v>
      </c>
      <c r="AO9" s="23">
        <f t="shared" ref="AO9" si="34">SUM(AO4:AO8)</f>
        <v>1100923.6918773709</v>
      </c>
      <c r="AP9" s="23">
        <f t="shared" ref="AP9" si="35">SUM(AP4:AP8)</f>
        <v>1062192.6281611971</v>
      </c>
      <c r="AQ9" s="23">
        <f t="shared" ref="AQ9" si="36">SUM(AQ4:AQ8)</f>
        <v>1026403.8417517849</v>
      </c>
      <c r="AR9" s="23">
        <f t="shared" ref="AR9" si="37">SUM(AR4:AR8)</f>
        <v>993488.31384738639</v>
      </c>
      <c r="AS9" s="23">
        <f t="shared" ref="AS9" si="38">SUM(AS4:AS8)</f>
        <v>963918.46958145709</v>
      </c>
      <c r="AT9" s="23">
        <f t="shared" ref="AT9" si="39">SUM(AT4:AT8)</f>
        <v>938112.59580799518</v>
      </c>
      <c r="AU9" s="23">
        <f t="shared" ref="AU9" si="40">SUM(AU4:AU8)</f>
        <v>916116.9338336729</v>
      </c>
      <c r="AV9" s="23">
        <f t="shared" ref="AV9" si="41">SUM(AV4:AV8)</f>
        <v>898506.02668518852</v>
      </c>
      <c r="AW9" s="23">
        <f t="shared" ref="AW9" si="42">SUM(AW4:AW8)</f>
        <v>885650.53413462499</v>
      </c>
      <c r="AX9" s="23">
        <f t="shared" ref="AX9" si="43">SUM(AX4:AX8)</f>
        <v>877942.77763160516</v>
      </c>
      <c r="AY9" s="23">
        <f t="shared" ref="AY9" si="44">SUM(AY4:AY8)</f>
        <v>875951.09382948012</v>
      </c>
      <c r="AZ9" s="23">
        <f t="shared" ref="AZ9" si="45">SUM(AZ4:AZ8)</f>
        <v>880262.72140493465</v>
      </c>
      <c r="BA9" s="23">
        <f t="shared" ref="BA9" si="46">SUM(BA4:BA8)</f>
        <v>891399.86119360593</v>
      </c>
      <c r="BB9" s="23">
        <f t="shared" ref="BB9" si="47">SUM(BB4:BB8)</f>
        <v>910293.90494821884</v>
      </c>
      <c r="BC9" s="23">
        <f t="shared" ref="BC9" si="48">SUM(BC4:BC8)</f>
        <v>937664.78795930126</v>
      </c>
      <c r="BD9" s="23">
        <f t="shared" ref="BD9" si="49">SUM(BD4:BD8)</f>
        <v>974218.31994600617</v>
      </c>
      <c r="BE9" s="23">
        <f t="shared" ref="BE9" si="50">SUM(BE4:BE8)</f>
        <v>1022992.9682477852</v>
      </c>
      <c r="BF9" s="23">
        <f t="shared" ref="BF9" si="51">SUM(BF4:BF8)</f>
        <v>1066307.2471183985</v>
      </c>
      <c r="BG9" s="23">
        <f t="shared" ref="BG9" si="52">SUM(BG4:BG8)</f>
        <v>1132191.2177988573</v>
      </c>
      <c r="BH9" s="23">
        <f t="shared" ref="BH9" si="53">SUM(BH4:BH8)</f>
        <v>1212031.0068146326</v>
      </c>
      <c r="BI9" s="23">
        <f t="shared" ref="BI9" si="54">SUM(BI4:BI8)</f>
        <v>1307281.2556596263</v>
      </c>
      <c r="BJ9" s="23">
        <f t="shared" ref="BJ9" si="55">SUM(BJ4:BJ8)</f>
        <v>1419877.0430322611</v>
      </c>
    </row>
    <row r="10" spans="1:62" x14ac:dyDescent="0.2">
      <c r="C10" s="64"/>
      <c r="D10" s="64"/>
      <c r="E10" s="64"/>
      <c r="F10" s="64"/>
      <c r="G10" s="6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x14ac:dyDescent="0.2">
      <c r="A11" s="28" t="s">
        <v>105</v>
      </c>
      <c r="C11" s="64"/>
      <c r="D11" s="64"/>
      <c r="E11" s="64"/>
      <c r="F11" s="64"/>
      <c r="G11" s="6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x14ac:dyDescent="0.2">
      <c r="A12" s="26" t="s">
        <v>106</v>
      </c>
      <c r="C12" s="64">
        <v>13987</v>
      </c>
      <c r="D12" s="64">
        <v>15347</v>
      </c>
      <c r="E12" s="64">
        <v>38728</v>
      </c>
      <c r="F12" s="64">
        <v>32496</v>
      </c>
      <c r="G12" s="64">
        <v>43291</v>
      </c>
      <c r="H12" s="1">
        <f>AverageAPDays/30*('Monthly Income Statement'!H14+SUM('Monthly Income Statement'!H27:H32))</f>
        <v>53023.459634150146</v>
      </c>
      <c r="I12" s="1">
        <f>AverageAPDays/30*('Monthly Income Statement'!I14+SUM('Monthly Income Statement'!I27:I32))</f>
        <v>59723.415624250149</v>
      </c>
      <c r="J12" s="1">
        <f>AverageAPDays/30*('Monthly Income Statement'!J14+SUM('Monthly Income Statement'!J27:J32))</f>
        <v>66163.512440792154</v>
      </c>
      <c r="K12" s="1">
        <f>AverageAPDays/30*('Monthly Income Statement'!K14+SUM('Monthly Income Statement'!K27:K32))</f>
        <v>72491.362476354916</v>
      </c>
      <c r="L12" s="1">
        <f>AverageAPDays/30*('Monthly Income Statement'!L14+SUM('Monthly Income Statement'!L27:L32))</f>
        <v>78593.505897359879</v>
      </c>
      <c r="M12" s="1">
        <f>AverageAPDays/30*('Monthly Income Statement'!M14+SUM('Monthly Income Statement'!M27:M32))</f>
        <v>84541.223370852385</v>
      </c>
      <c r="N12" s="1">
        <f>AverageAPDays/30*('Monthly Income Statement'!N14+SUM('Monthly Income Statement'!N27:N32))</f>
        <v>90261.457331192665</v>
      </c>
      <c r="O12" s="1">
        <f>AverageAPDays/30*('Monthly Income Statement'!O14+SUM('Monthly Income Statement'!O27:O32))</f>
        <v>107775.17234203295</v>
      </c>
      <c r="P12" s="1">
        <f>AverageAPDays/30*('Monthly Income Statement'!P14+SUM('Monthly Income Statement'!P27:P32))</f>
        <v>103222.95361621806</v>
      </c>
      <c r="Q12" s="1">
        <f>AverageAPDays/30*('Monthly Income Statement'!Q14+SUM('Monthly Income Statement'!Q27:Q32))</f>
        <v>108614.78012491138</v>
      </c>
      <c r="R12" s="1">
        <f>AverageAPDays/30*('Monthly Income Statement'!R14+SUM('Monthly Income Statement'!R27:R32))</f>
        <v>113777.97367744199</v>
      </c>
      <c r="S12" s="1">
        <f>AverageAPDays/30*('Monthly Income Statement'!S14+SUM('Monthly Income Statement'!S27:S32))</f>
        <v>118888.536535241</v>
      </c>
      <c r="T12" s="1">
        <f>AverageAPDays/30*('Monthly Income Statement'!T14+SUM('Monthly Income Statement'!T27:T32))</f>
        <v>123813.61959348599</v>
      </c>
      <c r="U12" s="1">
        <f>AverageAPDays/30*('Monthly Income Statement'!U14+SUM('Monthly Income Statement'!U27:U32))</f>
        <v>128779.50636287457</v>
      </c>
      <c r="V12" s="1">
        <f>AverageAPDays/30*('Monthly Income Statement'!V14+SUM('Monthly Income Statement'!V27:V32))</f>
        <v>133700.79972403619</v>
      </c>
      <c r="W12" s="1">
        <f>AverageAPDays/30*('Monthly Income Statement'!W14+SUM('Monthly Income Statement'!W27:W32))</f>
        <v>138554.41286243184</v>
      </c>
      <c r="X12" s="1">
        <f>AverageAPDays/30*('Monthly Income Statement'!X14+SUM('Monthly Income Statement'!X27:X32))</f>
        <v>155240.90857526325</v>
      </c>
      <c r="Y12" s="1">
        <f>AverageAPDays/30*('Monthly Income Statement'!Y14+SUM('Monthly Income Statement'!Y27:Y32))</f>
        <v>149960.86329175666</v>
      </c>
      <c r="Z12" s="1">
        <f>AverageAPDays/30*('Monthly Income Statement'!Z14+SUM('Monthly Income Statement'!Z27:Z32))</f>
        <v>154737.13059123335</v>
      </c>
      <c r="AA12" s="1">
        <f>AverageAPDays/30*('Monthly Income Statement'!AA14+SUM('Monthly Income Statement'!AA27:AA32))</f>
        <v>159451.14383003081</v>
      </c>
      <c r="AB12" s="1">
        <f>AverageAPDays/30*('Monthly Income Statement'!AB14+SUM('Monthly Income Statement'!AB27:AB32))</f>
        <v>164229.00056195343</v>
      </c>
      <c r="AC12" s="1">
        <f>AverageAPDays/30*('Monthly Income Statement'!AC14+SUM('Monthly Income Statement'!AC27:AC32))</f>
        <v>169121.24036128132</v>
      </c>
      <c r="AD12" s="1">
        <f>AverageAPDays/30*('Monthly Income Statement'!AD14+SUM('Monthly Income Statement'!AD27:AD32))</f>
        <v>174049.98074352002</v>
      </c>
      <c r="AE12" s="1">
        <f>AverageAPDays/30*('Monthly Income Statement'!AE14+SUM('Monthly Income Statement'!AE27:AE32))</f>
        <v>179056.52256806451</v>
      </c>
      <c r="AF12" s="1">
        <f>AverageAPDays/30*('Monthly Income Statement'!AF14+SUM('Monthly Income Statement'!AF27:AF32))</f>
        <v>184104.93144381273</v>
      </c>
      <c r="AG12" s="1">
        <f>AverageAPDays/30*('Monthly Income Statement'!AG14+SUM('Monthly Income Statement'!AG27:AG32))</f>
        <v>189418.84530850028</v>
      </c>
      <c r="AH12" s="1">
        <f>AverageAPDays/30*('Monthly Income Statement'!AH14+SUM('Monthly Income Statement'!AH27:AH32))</f>
        <v>194828.97440479777</v>
      </c>
      <c r="AI12" s="1">
        <f>AverageAPDays/30*('Monthly Income Statement'!AI14+SUM('Monthly Income Statement'!AI27:AI32))</f>
        <v>200474.0451892131</v>
      </c>
      <c r="AJ12" s="1">
        <f>AverageAPDays/30*('Monthly Income Statement'!AJ14+SUM('Monthly Income Statement'!AJ27:AJ32))</f>
        <v>206410.23821729614</v>
      </c>
      <c r="AK12" s="1">
        <f>AverageAPDays/30*('Monthly Income Statement'!AK14+SUM('Monthly Income Statement'!AK27:AK32))</f>
        <v>212503.24153419182</v>
      </c>
      <c r="AL12" s="1">
        <f>AverageAPDays/30*('Monthly Income Statement'!AL14+SUM('Monthly Income Statement'!AL27:AL32))</f>
        <v>219048.91341007323</v>
      </c>
      <c r="AM12" s="1">
        <f>AverageAPDays/30*('Monthly Income Statement'!AM14+SUM('Monthly Income Statement'!AM27:AM32))</f>
        <v>225856.84714962996</v>
      </c>
      <c r="AN12" s="1">
        <f>AverageAPDays/30*('Monthly Income Statement'!AN14+SUM('Monthly Income Statement'!AN27:AN32))</f>
        <v>233088.2770717426</v>
      </c>
      <c r="AO12" s="1">
        <f>AverageAPDays/30*('Monthly Income Statement'!AO14+SUM('Monthly Income Statement'!AO27:AO32))</f>
        <v>240802.76907965189</v>
      </c>
      <c r="AP12" s="1">
        <f>AverageAPDays/30*('Monthly Income Statement'!AP14+SUM('Monthly Income Statement'!AP27:AP32))</f>
        <v>249060.43985701678</v>
      </c>
      <c r="AQ12" s="1">
        <f>AverageAPDays/30*('Monthly Income Statement'!AQ14+SUM('Monthly Income Statement'!AQ27:AQ32))</f>
        <v>258030.18232406012</v>
      </c>
      <c r="AR12" s="1">
        <f>AverageAPDays/30*('Monthly Income Statement'!AR14+SUM('Monthly Income Statement'!AR27:AR32))</f>
        <v>267514.03180066095</v>
      </c>
      <c r="AS12" s="1">
        <f>AverageAPDays/30*('Monthly Income Statement'!AS14+SUM('Monthly Income Statement'!AS27:AS32))</f>
        <v>277792.53231652512</v>
      </c>
      <c r="AT12" s="1">
        <f>AverageAPDays/30*('Monthly Income Statement'!AT14+SUM('Monthly Income Statement'!AT27:AT32))</f>
        <v>289049.77374201745</v>
      </c>
      <c r="AU12" s="1">
        <f>AverageAPDays/30*('Monthly Income Statement'!AU14+SUM('Monthly Income Statement'!AU27:AU32))</f>
        <v>301128.56524702022</v>
      </c>
      <c r="AV12" s="1">
        <f>AverageAPDays/30*('Monthly Income Statement'!AV14+SUM('Monthly Income Statement'!AV27:AV32))</f>
        <v>314332.07769648451</v>
      </c>
      <c r="AW12" s="1">
        <f>AverageAPDays/30*('Monthly Income Statement'!AW14+SUM('Monthly Income Statement'!AW27:AW32))</f>
        <v>328739.57681735948</v>
      </c>
      <c r="AX12" s="1">
        <f>AverageAPDays/30*('Monthly Income Statement'!AX14+SUM('Monthly Income Statement'!AX27:AX32))</f>
        <v>344431.62301559141</v>
      </c>
      <c r="AY12" s="1">
        <f>AverageAPDays/30*('Monthly Income Statement'!AY14+SUM('Monthly Income Statement'!AY27:AY32))</f>
        <v>361616.89625829516</v>
      </c>
      <c r="AZ12" s="1">
        <f>AverageAPDays/30*('Monthly Income Statement'!AZ14+SUM('Monthly Income Statement'!AZ27:AZ32))</f>
        <v>380476.25091051741</v>
      </c>
      <c r="BA12" s="1">
        <f>AverageAPDays/30*('Monthly Income Statement'!BA14+SUM('Monthly Income Statement'!BA27:BA32))</f>
        <v>401102.30083013419</v>
      </c>
      <c r="BB12" s="1">
        <f>AverageAPDays/30*('Monthly Income Statement'!BB14+SUM('Monthly Income Statement'!BB27:BB32))</f>
        <v>423903.5156419425</v>
      </c>
      <c r="BC12" s="1">
        <f>AverageAPDays/30*('Monthly Income Statement'!BC14+SUM('Monthly Income Statement'!BC27:BC32))</f>
        <v>449037.26773033116</v>
      </c>
      <c r="BD12" s="1">
        <f>AverageAPDays/30*('Monthly Income Statement'!BD14+SUM('Monthly Income Statement'!BD27:BD32))</f>
        <v>476618.4930925424</v>
      </c>
      <c r="BE12" s="1">
        <f>AverageAPDays/30*('Monthly Income Statement'!BE14+SUM('Monthly Income Statement'!BE27:BE32))</f>
        <v>519085.27004789026</v>
      </c>
      <c r="BF12" s="1">
        <f>AverageAPDays/30*('Monthly Income Statement'!BF14+SUM('Monthly Income Statement'!BF27:BF32))</f>
        <v>542864.98674568941</v>
      </c>
      <c r="BG12" s="1">
        <f>AverageAPDays/30*('Monthly Income Statement'!BG14+SUM('Monthly Income Statement'!BG27:BG32))</f>
        <v>580147.09761425247</v>
      </c>
      <c r="BH12" s="1">
        <f>AverageAPDays/30*('Monthly Income Statement'!BH14+SUM('Monthly Income Statement'!BH27:BH32))</f>
        <v>621371.49913109723</v>
      </c>
      <c r="BI12" s="1">
        <f>AverageAPDays/30*('Monthly Income Statement'!BI14+SUM('Monthly Income Statement'!BI27:BI32))</f>
        <v>666949.30168070248</v>
      </c>
      <c r="BJ12" s="1">
        <f>AverageAPDays/30*('Monthly Income Statement'!BJ14+SUM('Monthly Income Statement'!BJ27:BJ32))</f>
        <v>717601.14562050486</v>
      </c>
    </row>
    <row r="13" spans="1:62" x14ac:dyDescent="0.2">
      <c r="A13" s="26" t="s">
        <v>107</v>
      </c>
      <c r="C13" s="64"/>
      <c r="D13" s="64"/>
      <c r="E13" s="64"/>
      <c r="F13" s="64"/>
      <c r="G13" s="6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x14ac:dyDescent="0.2">
      <c r="A14" s="26" t="s">
        <v>108</v>
      </c>
      <c r="C14" s="64"/>
      <c r="D14" s="64"/>
      <c r="E14" s="64"/>
      <c r="F14" s="64"/>
      <c r="G14" s="6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s="3" customFormat="1" x14ac:dyDescent="0.2">
      <c r="A15" s="31" t="s">
        <v>109</v>
      </c>
      <c r="C15" s="67">
        <f t="shared" ref="C15:H15" si="56">SUM(C12:C14)</f>
        <v>13987</v>
      </c>
      <c r="D15" s="67">
        <f t="shared" si="56"/>
        <v>15347</v>
      </c>
      <c r="E15" s="67">
        <f t="shared" si="56"/>
        <v>38728</v>
      </c>
      <c r="F15" s="67">
        <f t="shared" si="56"/>
        <v>32496</v>
      </c>
      <c r="G15" s="67">
        <f t="shared" si="56"/>
        <v>43291</v>
      </c>
      <c r="H15" s="2">
        <f t="shared" si="56"/>
        <v>53023.459634150146</v>
      </c>
      <c r="I15" s="2">
        <f t="shared" ref="I15" si="57">SUM(I12:I14)</f>
        <v>59723.415624250149</v>
      </c>
      <c r="J15" s="2">
        <f t="shared" ref="J15" si="58">SUM(J12:J14)</f>
        <v>66163.512440792154</v>
      </c>
      <c r="K15" s="2">
        <f t="shared" ref="K15" si="59">SUM(K12:K14)</f>
        <v>72491.362476354916</v>
      </c>
      <c r="L15" s="2">
        <f t="shared" ref="L15" si="60">SUM(L12:L14)</f>
        <v>78593.505897359879</v>
      </c>
      <c r="M15" s="2">
        <f t="shared" ref="M15" si="61">SUM(M12:M14)</f>
        <v>84541.223370852385</v>
      </c>
      <c r="N15" s="2">
        <f t="shared" ref="N15" si="62">SUM(N12:N14)</f>
        <v>90261.457331192665</v>
      </c>
      <c r="O15" s="2">
        <f t="shared" ref="O15" si="63">SUM(O12:O14)</f>
        <v>107775.17234203295</v>
      </c>
      <c r="P15" s="2">
        <f t="shared" ref="P15" si="64">SUM(P12:P14)</f>
        <v>103222.95361621806</v>
      </c>
      <c r="Q15" s="2">
        <f t="shared" ref="Q15" si="65">SUM(Q12:Q14)</f>
        <v>108614.78012491138</v>
      </c>
      <c r="R15" s="2">
        <f t="shared" ref="R15" si="66">SUM(R12:R14)</f>
        <v>113777.97367744199</v>
      </c>
      <c r="S15" s="2">
        <f t="shared" ref="S15" si="67">SUM(S12:S14)</f>
        <v>118888.536535241</v>
      </c>
      <c r="T15" s="2">
        <f t="shared" ref="T15" si="68">SUM(T12:T14)</f>
        <v>123813.61959348599</v>
      </c>
      <c r="U15" s="2">
        <f t="shared" ref="U15" si="69">SUM(U12:U14)</f>
        <v>128779.50636287457</v>
      </c>
      <c r="V15" s="2">
        <f t="shared" ref="V15" si="70">SUM(V12:V14)</f>
        <v>133700.79972403619</v>
      </c>
      <c r="W15" s="2">
        <f t="shared" ref="W15" si="71">SUM(W12:W14)</f>
        <v>138554.41286243184</v>
      </c>
      <c r="X15" s="2">
        <f t="shared" ref="X15" si="72">SUM(X12:X14)</f>
        <v>155240.90857526325</v>
      </c>
      <c r="Y15" s="2">
        <f t="shared" ref="Y15" si="73">SUM(Y12:Y14)</f>
        <v>149960.86329175666</v>
      </c>
      <c r="Z15" s="2">
        <f t="shared" ref="Z15" si="74">SUM(Z12:Z14)</f>
        <v>154737.13059123335</v>
      </c>
      <c r="AA15" s="2">
        <f t="shared" ref="AA15" si="75">SUM(AA12:AA14)</f>
        <v>159451.14383003081</v>
      </c>
      <c r="AB15" s="2">
        <f t="shared" ref="AB15" si="76">SUM(AB12:AB14)</f>
        <v>164229.00056195343</v>
      </c>
      <c r="AC15" s="2">
        <f t="shared" ref="AC15" si="77">SUM(AC12:AC14)</f>
        <v>169121.24036128132</v>
      </c>
      <c r="AD15" s="2">
        <f t="shared" ref="AD15" si="78">SUM(AD12:AD14)</f>
        <v>174049.98074352002</v>
      </c>
      <c r="AE15" s="2">
        <f t="shared" ref="AE15" si="79">SUM(AE12:AE14)</f>
        <v>179056.52256806451</v>
      </c>
      <c r="AF15" s="2">
        <f t="shared" ref="AF15" si="80">SUM(AF12:AF14)</f>
        <v>184104.93144381273</v>
      </c>
      <c r="AG15" s="2">
        <f t="shared" ref="AG15" si="81">SUM(AG12:AG14)</f>
        <v>189418.84530850028</v>
      </c>
      <c r="AH15" s="2">
        <f t="shared" ref="AH15" si="82">SUM(AH12:AH14)</f>
        <v>194828.97440479777</v>
      </c>
      <c r="AI15" s="2">
        <f t="shared" ref="AI15" si="83">SUM(AI12:AI14)</f>
        <v>200474.0451892131</v>
      </c>
      <c r="AJ15" s="2">
        <f t="shared" ref="AJ15" si="84">SUM(AJ12:AJ14)</f>
        <v>206410.23821729614</v>
      </c>
      <c r="AK15" s="2">
        <f t="shared" ref="AK15" si="85">SUM(AK12:AK14)</f>
        <v>212503.24153419182</v>
      </c>
      <c r="AL15" s="2">
        <f t="shared" ref="AL15" si="86">SUM(AL12:AL14)</f>
        <v>219048.91341007323</v>
      </c>
      <c r="AM15" s="2">
        <f t="shared" ref="AM15" si="87">SUM(AM12:AM14)</f>
        <v>225856.84714962996</v>
      </c>
      <c r="AN15" s="2">
        <f t="shared" ref="AN15" si="88">SUM(AN12:AN14)</f>
        <v>233088.2770717426</v>
      </c>
      <c r="AO15" s="2">
        <f t="shared" ref="AO15" si="89">SUM(AO12:AO14)</f>
        <v>240802.76907965189</v>
      </c>
      <c r="AP15" s="2">
        <f t="shared" ref="AP15" si="90">SUM(AP12:AP14)</f>
        <v>249060.43985701678</v>
      </c>
      <c r="AQ15" s="2">
        <f t="shared" ref="AQ15" si="91">SUM(AQ12:AQ14)</f>
        <v>258030.18232406012</v>
      </c>
      <c r="AR15" s="2">
        <f t="shared" ref="AR15" si="92">SUM(AR12:AR14)</f>
        <v>267514.03180066095</v>
      </c>
      <c r="AS15" s="2">
        <f t="shared" ref="AS15" si="93">SUM(AS12:AS14)</f>
        <v>277792.53231652512</v>
      </c>
      <c r="AT15" s="2">
        <f t="shared" ref="AT15" si="94">SUM(AT12:AT14)</f>
        <v>289049.77374201745</v>
      </c>
      <c r="AU15" s="2">
        <f t="shared" ref="AU15" si="95">SUM(AU12:AU14)</f>
        <v>301128.56524702022</v>
      </c>
      <c r="AV15" s="2">
        <f t="shared" ref="AV15" si="96">SUM(AV12:AV14)</f>
        <v>314332.07769648451</v>
      </c>
      <c r="AW15" s="2">
        <f t="shared" ref="AW15" si="97">SUM(AW12:AW14)</f>
        <v>328739.57681735948</v>
      </c>
      <c r="AX15" s="2">
        <f t="shared" ref="AX15" si="98">SUM(AX12:AX14)</f>
        <v>344431.62301559141</v>
      </c>
      <c r="AY15" s="2">
        <f t="shared" ref="AY15" si="99">SUM(AY12:AY14)</f>
        <v>361616.89625829516</v>
      </c>
      <c r="AZ15" s="2">
        <f t="shared" ref="AZ15" si="100">SUM(AZ12:AZ14)</f>
        <v>380476.25091051741</v>
      </c>
      <c r="BA15" s="2">
        <f t="shared" ref="BA15" si="101">SUM(BA12:BA14)</f>
        <v>401102.30083013419</v>
      </c>
      <c r="BB15" s="2">
        <f t="shared" ref="BB15" si="102">SUM(BB12:BB14)</f>
        <v>423903.5156419425</v>
      </c>
      <c r="BC15" s="2">
        <f t="shared" ref="BC15" si="103">SUM(BC12:BC14)</f>
        <v>449037.26773033116</v>
      </c>
      <c r="BD15" s="2">
        <f t="shared" ref="BD15" si="104">SUM(BD12:BD14)</f>
        <v>476618.4930925424</v>
      </c>
      <c r="BE15" s="2">
        <f t="shared" ref="BE15" si="105">SUM(BE12:BE14)</f>
        <v>519085.27004789026</v>
      </c>
      <c r="BF15" s="2">
        <f t="shared" ref="BF15" si="106">SUM(BF12:BF14)</f>
        <v>542864.98674568941</v>
      </c>
      <c r="BG15" s="2">
        <f t="shared" ref="BG15" si="107">SUM(BG12:BG14)</f>
        <v>580147.09761425247</v>
      </c>
      <c r="BH15" s="2">
        <f t="shared" ref="BH15" si="108">SUM(BH12:BH14)</f>
        <v>621371.49913109723</v>
      </c>
      <c r="BI15" s="2">
        <f t="shared" ref="BI15" si="109">SUM(BI12:BI14)</f>
        <v>666949.30168070248</v>
      </c>
      <c r="BJ15" s="2">
        <f t="shared" ref="BJ15" si="110">SUM(BJ12:BJ14)</f>
        <v>717601.14562050486</v>
      </c>
    </row>
    <row r="16" spans="1:62" x14ac:dyDescent="0.2">
      <c r="C16" s="64"/>
      <c r="D16" s="64"/>
      <c r="E16" s="64"/>
      <c r="F16" s="64"/>
      <c r="G16" s="6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x14ac:dyDescent="0.2">
      <c r="A17" s="28" t="s">
        <v>110</v>
      </c>
      <c r="C17" s="64"/>
      <c r="D17" s="64"/>
      <c r="E17" s="64"/>
      <c r="F17" s="64"/>
      <c r="G17" s="6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x14ac:dyDescent="0.2">
      <c r="A18" s="26" t="s">
        <v>111</v>
      </c>
      <c r="C18" s="64">
        <f>B18+'Monthly Income Statement'!C39</f>
        <v>1000000</v>
      </c>
      <c r="D18" s="64">
        <f>C18+'Monthly Income Statement'!D39</f>
        <v>1000000</v>
      </c>
      <c r="E18" s="64">
        <f>D18+'Monthly Income Statement'!E39</f>
        <v>1000000</v>
      </c>
      <c r="F18" s="64">
        <f>E18+'Monthly Income Statement'!F39</f>
        <v>1000000</v>
      </c>
      <c r="G18" s="64">
        <f>F18+'Monthly Income Statement'!G39</f>
        <v>1000000</v>
      </c>
      <c r="H18" s="1">
        <f>G18+'Monthly Income Statement'!H39</f>
        <v>1000000</v>
      </c>
      <c r="I18" s="1">
        <f>H18+'Monthly Income Statement'!I39</f>
        <v>1000000</v>
      </c>
      <c r="J18" s="1">
        <f>I18+'Monthly Income Statement'!J39</f>
        <v>1000000</v>
      </c>
      <c r="K18" s="1">
        <f>J18+'Monthly Income Statement'!K39</f>
        <v>1000000</v>
      </c>
      <c r="L18" s="1">
        <f>K18+'Monthly Income Statement'!L39</f>
        <v>1000000</v>
      </c>
      <c r="M18" s="1">
        <f>L18+'Monthly Income Statement'!M39</f>
        <v>1000000</v>
      </c>
      <c r="N18" s="1">
        <f>M18+'Monthly Income Statement'!N39</f>
        <v>1000000</v>
      </c>
      <c r="O18" s="1">
        <f>N18+'Monthly Income Statement'!O39</f>
        <v>3500000</v>
      </c>
      <c r="P18" s="1">
        <f>O18+'Monthly Income Statement'!P39</f>
        <v>3500000</v>
      </c>
      <c r="Q18" s="1">
        <f>P18+'Monthly Income Statement'!Q39</f>
        <v>3500000</v>
      </c>
      <c r="R18" s="1">
        <f>Q18+'Monthly Income Statement'!R39</f>
        <v>3500000</v>
      </c>
      <c r="S18" s="1">
        <f>R18+'Monthly Income Statement'!S39</f>
        <v>3500000</v>
      </c>
      <c r="T18" s="1">
        <f>S18+'Monthly Income Statement'!T39</f>
        <v>3500000</v>
      </c>
      <c r="U18" s="1">
        <f>T18+'Monthly Income Statement'!U39</f>
        <v>3500000</v>
      </c>
      <c r="V18" s="1">
        <f>U18+'Monthly Income Statement'!V39</f>
        <v>3500000</v>
      </c>
      <c r="W18" s="1">
        <f>V18+'Monthly Income Statement'!W39</f>
        <v>3500000</v>
      </c>
      <c r="X18" s="1">
        <f>W18+'Monthly Income Statement'!X39</f>
        <v>3500000</v>
      </c>
      <c r="Y18" s="1">
        <f>X18+'Monthly Income Statement'!Y39</f>
        <v>3500000</v>
      </c>
      <c r="Z18" s="1">
        <f>Y18+'Monthly Income Statement'!Z39</f>
        <v>3500000</v>
      </c>
      <c r="AA18" s="1">
        <f>Z18+'Monthly Income Statement'!AA39</f>
        <v>3500000</v>
      </c>
      <c r="AB18" s="1">
        <f>AA18+'Monthly Income Statement'!AB39</f>
        <v>3500000</v>
      </c>
      <c r="AC18" s="1">
        <f>AB18+'Monthly Income Statement'!AC39</f>
        <v>3500000</v>
      </c>
      <c r="AD18" s="1">
        <f>AC18+'Monthly Income Statement'!AD39</f>
        <v>3500000</v>
      </c>
      <c r="AE18" s="1">
        <f>AD18+'Monthly Income Statement'!AE39</f>
        <v>3500000</v>
      </c>
      <c r="AF18" s="1">
        <f>AE18+'Monthly Income Statement'!AF39</f>
        <v>3500000</v>
      </c>
      <c r="AG18" s="1">
        <f>AF18+'Monthly Income Statement'!AG39</f>
        <v>3500000</v>
      </c>
      <c r="AH18" s="1">
        <f>AG18+'Monthly Income Statement'!AH39</f>
        <v>3500000</v>
      </c>
      <c r="AI18" s="1">
        <f>AH18+'Monthly Income Statement'!AI39</f>
        <v>3500000</v>
      </c>
      <c r="AJ18" s="1">
        <f>AI18+'Monthly Income Statement'!AJ39</f>
        <v>3500000</v>
      </c>
      <c r="AK18" s="1">
        <f>AJ18+'Monthly Income Statement'!AK39</f>
        <v>3500000</v>
      </c>
      <c r="AL18" s="1">
        <f>AK18+'Monthly Income Statement'!AL39</f>
        <v>3500000</v>
      </c>
      <c r="AM18" s="1">
        <f>AL18+'Monthly Income Statement'!AM39</f>
        <v>3500000</v>
      </c>
      <c r="AN18" s="1">
        <f>AM18+'Monthly Income Statement'!AN39</f>
        <v>3500000</v>
      </c>
      <c r="AO18" s="1">
        <f>AN18+'Monthly Income Statement'!AO39</f>
        <v>3500000</v>
      </c>
      <c r="AP18" s="1">
        <f>AO18+'Monthly Income Statement'!AP39</f>
        <v>3500000</v>
      </c>
      <c r="AQ18" s="1">
        <f>AP18+'Monthly Income Statement'!AQ39</f>
        <v>3500000</v>
      </c>
      <c r="AR18" s="1">
        <f>AQ18+'Monthly Income Statement'!AR39</f>
        <v>3500000</v>
      </c>
      <c r="AS18" s="1">
        <f>AR18+'Monthly Income Statement'!AS39</f>
        <v>3500000</v>
      </c>
      <c r="AT18" s="1">
        <f>AS18+'Monthly Income Statement'!AT39</f>
        <v>3500000</v>
      </c>
      <c r="AU18" s="1">
        <f>AT18+'Monthly Income Statement'!AU39</f>
        <v>3500000</v>
      </c>
      <c r="AV18" s="1">
        <f>AU18+'Monthly Income Statement'!AV39</f>
        <v>3500000</v>
      </c>
      <c r="AW18" s="1">
        <f>AV18+'Monthly Income Statement'!AW39</f>
        <v>3500000</v>
      </c>
      <c r="AX18" s="1">
        <f>AW18+'Monthly Income Statement'!AX39</f>
        <v>3500000</v>
      </c>
      <c r="AY18" s="1">
        <f>AX18+'Monthly Income Statement'!AY39</f>
        <v>3500000</v>
      </c>
      <c r="AZ18" s="1">
        <f>AY18+'Monthly Income Statement'!AZ39</f>
        <v>3500000</v>
      </c>
      <c r="BA18" s="1">
        <f>AZ18+'Monthly Income Statement'!BA39</f>
        <v>3500000</v>
      </c>
      <c r="BB18" s="1">
        <f>BA18+'Monthly Income Statement'!BB39</f>
        <v>3500000</v>
      </c>
      <c r="BC18" s="1">
        <f>BB18+'Monthly Income Statement'!BC39</f>
        <v>3500000</v>
      </c>
      <c r="BD18" s="1">
        <f>BC18+'Monthly Income Statement'!BD39</f>
        <v>3500000</v>
      </c>
      <c r="BE18" s="1">
        <f>BD18+'Monthly Income Statement'!BE39</f>
        <v>3500000</v>
      </c>
      <c r="BF18" s="1">
        <f>BE18+'Monthly Income Statement'!BF39</f>
        <v>3500000</v>
      </c>
      <c r="BG18" s="1">
        <f>BF18+'Monthly Income Statement'!BG39</f>
        <v>3500000</v>
      </c>
      <c r="BH18" s="1">
        <f>BG18+'Monthly Income Statement'!BH39</f>
        <v>3500000</v>
      </c>
      <c r="BI18" s="1">
        <f>BH18+'Monthly Income Statement'!BI39</f>
        <v>3500000</v>
      </c>
      <c r="BJ18" s="1">
        <f>BI18+'Monthly Income Statement'!BJ39</f>
        <v>3500000</v>
      </c>
    </row>
    <row r="19" spans="1:62" x14ac:dyDescent="0.2">
      <c r="A19" s="26" t="s">
        <v>112</v>
      </c>
      <c r="C19" s="64">
        <v>-39583.657921666672</v>
      </c>
      <c r="D19" s="64">
        <v>-79104.448364333337</v>
      </c>
      <c r="E19" s="64">
        <v>-146339.5102512</v>
      </c>
      <c r="F19" s="64">
        <v>-219849.49467973335</v>
      </c>
      <c r="G19" s="64">
        <v>-302199.68594906671</v>
      </c>
      <c r="H19" s="1">
        <f>G19+'Monthly Income Statement'!H35</f>
        <v>-382920.21793325432</v>
      </c>
      <c r="I19" s="1">
        <f>H19+'Monthly Income Statement'!I35</f>
        <v>-462041.49826398341</v>
      </c>
      <c r="J19" s="1">
        <f>I19+'Monthly Income Statement'!J35</f>
        <v>-539591.56569417054</v>
      </c>
      <c r="K19" s="1">
        <f>J19+'Monthly Income Statement'!K35</f>
        <v>-615566.53534614039</v>
      </c>
      <c r="L19" s="1">
        <f>K19+'Monthly Income Statement'!L35</f>
        <v>-689987.82224635198</v>
      </c>
      <c r="M19" s="1">
        <f>L19+'Monthly Income Statement'!M35</f>
        <v>-762863.72101083596</v>
      </c>
      <c r="N19" s="1">
        <f>M19+'Monthly Income Statement'!N35</f>
        <v>-834218.01939822198</v>
      </c>
      <c r="O19" s="1">
        <f>N19+'Monthly Income Statement'!O35</f>
        <v>-920424.53720673616</v>
      </c>
      <c r="P19" s="1">
        <f>O19+'Monthly Income Statement'!P35</f>
        <v>-1000137.8522057751</v>
      </c>
      <c r="Q19" s="1">
        <f>P19+'Monthly Income Statement'!Q35</f>
        <v>-1078349.962400232</v>
      </c>
      <c r="R19" s="1">
        <f>Q19+'Monthly Income Statement'!R35</f>
        <v>-1155092.5803692006</v>
      </c>
      <c r="S19" s="1">
        <f>R19+'Monthly Income Statement'!S35</f>
        <v>-1230369.2981937716</v>
      </c>
      <c r="T19" s="1">
        <f>S19+'Monthly Income Statement'!T35</f>
        <v>-1304203.4159827519</v>
      </c>
      <c r="U19" s="1">
        <f>T19+'Monthly Income Statement'!U35</f>
        <v>-1376566.4468851283</v>
      </c>
      <c r="V19" s="1">
        <f>U19+'Monthly Income Statement'!V35</f>
        <v>-1447452.9706338653</v>
      </c>
      <c r="W19" s="1">
        <f>V19+'Monthly Income Statement'!W35</f>
        <v>-1516861.1194990952</v>
      </c>
      <c r="X19" s="1">
        <f>W19+'Monthly Income Statement'!X35</f>
        <v>-1595147.4130122527</v>
      </c>
      <c r="Y19" s="1">
        <f>X19+'Monthly Income Statement'!Y35</f>
        <v>-1667213.406471862</v>
      </c>
      <c r="Z19" s="1">
        <f>Y19+'Monthly Income Statement'!Z35</f>
        <v>-1738048.5641307936</v>
      </c>
      <c r="AA19" s="1">
        <f>Z19+'Monthly Income Statement'!AA35</f>
        <v>-1807670.0274160958</v>
      </c>
      <c r="AB19" s="1">
        <f>AA19+'Monthly Income Statement'!AB35</f>
        <v>-1876065.4722054822</v>
      </c>
      <c r="AC19" s="1">
        <f>AB19+'Monthly Income Statement'!AC35</f>
        <v>-1943209.2843289867</v>
      </c>
      <c r="AD19" s="1">
        <f>AC19+'Monthly Income Statement'!AD35</f>
        <v>-2009092.4248779151</v>
      </c>
      <c r="AE19" s="1">
        <f>AD19+'Monthly Income Statement'!AE35</f>
        <v>-2073699.2393810386</v>
      </c>
      <c r="AF19" s="1">
        <f>AE19+'Monthly Income Statement'!AF35</f>
        <v>-2137019.2865014696</v>
      </c>
      <c r="AG19" s="1">
        <f>AF19+'Monthly Income Statement'!AG35</f>
        <v>-2198991.6956560751</v>
      </c>
      <c r="AH19" s="1">
        <f>AG19+'Monthly Income Statement'!AH35</f>
        <v>-2259591.7074344214</v>
      </c>
      <c r="AI19" s="1">
        <f>AH19+'Monthly Income Statement'!AI35</f>
        <v>-2318762.3007381312</v>
      </c>
      <c r="AJ19" s="1">
        <f>AI19+'Monthly Income Statement'!AJ35</f>
        <v>-2376436.5729053281</v>
      </c>
      <c r="AK19" s="1">
        <f>AJ19+'Monthly Income Statement'!AK35</f>
        <v>-2432573.8335621669</v>
      </c>
      <c r="AL19" s="1">
        <f>AK19+'Monthly Income Statement'!AL35</f>
        <v>-2487069.7537320661</v>
      </c>
      <c r="AM19" s="1">
        <f>AL19+'Monthly Income Statement'!AM35</f>
        <v>-2539855.8322079671</v>
      </c>
      <c r="AN19" s="1">
        <f>AM19+'Monthly Income Statement'!AN35</f>
        <v>-2590831.0805349872</v>
      </c>
      <c r="AO19" s="1">
        <f>AN19+'Monthly Income Statement'!AO35</f>
        <v>-2639879.077202281</v>
      </c>
      <c r="AP19" s="1">
        <f>AO19+'Monthly Income Statement'!AP35</f>
        <v>-2686867.8116958197</v>
      </c>
      <c r="AQ19" s="1">
        <f>AP19+'Monthly Income Statement'!AQ35</f>
        <v>-2731626.3405722752</v>
      </c>
      <c r="AR19" s="1">
        <f>AQ19+'Monthly Income Statement'!AR35</f>
        <v>-2774025.7179532745</v>
      </c>
      <c r="AS19" s="1">
        <f>AR19+'Monthly Income Statement'!AS35</f>
        <v>-2813874.0627350677</v>
      </c>
      <c r="AT19" s="1">
        <f>AS19+'Monthly Income Statement'!AT35</f>
        <v>-2850937.1779340217</v>
      </c>
      <c r="AU19" s="1">
        <f>AT19+'Monthly Income Statement'!AU35</f>
        <v>-2885011.6314133466</v>
      </c>
      <c r="AV19" s="1">
        <f>AU19+'Monthly Income Statement'!AV35</f>
        <v>-2915826.0510112951</v>
      </c>
      <c r="AW19" s="1">
        <f>AV19+'Monthly Income Statement'!AW35</f>
        <v>-2943089.0426827334</v>
      </c>
      <c r="AX19" s="1">
        <f>AW19+'Monthly Income Statement'!AX35</f>
        <v>-2966488.8453839854</v>
      </c>
      <c r="AY19" s="1">
        <f>AX19+'Monthly Income Statement'!AY35</f>
        <v>-2985665.8024288141</v>
      </c>
      <c r="AZ19" s="1">
        <f>AY19+'Monthly Income Statement'!AZ35</f>
        <v>-3000213.5295055816</v>
      </c>
      <c r="BA19" s="1">
        <f>AZ19+'Monthly Income Statement'!BA35</f>
        <v>-3009702.4396365271</v>
      </c>
      <c r="BB19" s="1">
        <f>BA19+'Monthly Income Statement'!BB35</f>
        <v>-3013609.6106937225</v>
      </c>
      <c r="BC19" s="1">
        <f>BB19+'Monthly Income Statement'!BC35</f>
        <v>-3011372.4797710287</v>
      </c>
      <c r="BD19" s="1">
        <f>BC19+'Monthly Income Statement'!BD35</f>
        <v>-3002400.1731465352</v>
      </c>
      <c r="BE19" s="1">
        <f>BD19+'Monthly Income Statement'!BE35</f>
        <v>-2996092.3018001039</v>
      </c>
      <c r="BF19" s="1">
        <f>BE19+'Monthly Income Statement'!BF35</f>
        <v>-2976557.7396272901</v>
      </c>
      <c r="BG19" s="1">
        <f>BF19+'Monthly Income Statement'!BG35</f>
        <v>-2947955.8798153941</v>
      </c>
      <c r="BH19" s="1">
        <f>BG19+'Monthly Income Statement'!BH35</f>
        <v>-2909340.4923164635</v>
      </c>
      <c r="BI19" s="1">
        <f>BH19+'Monthly Income Statement'!BI35</f>
        <v>-2859668.046021075</v>
      </c>
      <c r="BJ19" s="1">
        <f>BI19+'Monthly Income Statement'!BJ35</f>
        <v>-2797724.1025882429</v>
      </c>
    </row>
    <row r="20" spans="1:62" s="3" customFormat="1" x14ac:dyDescent="0.2">
      <c r="A20" s="31" t="s">
        <v>113</v>
      </c>
      <c r="C20" s="67">
        <f t="shared" ref="C20:D20" si="111">SUM(C18:C19)</f>
        <v>960416.34207833337</v>
      </c>
      <c r="D20" s="67">
        <f t="shared" si="111"/>
        <v>920895.55163566663</v>
      </c>
      <c r="E20" s="67">
        <f t="shared" ref="E20:H20" si="112">SUM(E18:E19)</f>
        <v>853660.48974879994</v>
      </c>
      <c r="F20" s="67">
        <f t="shared" si="112"/>
        <v>780150.50532026659</v>
      </c>
      <c r="G20" s="67">
        <f t="shared" si="112"/>
        <v>697800.31405093335</v>
      </c>
      <c r="H20" s="2">
        <f t="shared" si="112"/>
        <v>617079.78206674568</v>
      </c>
      <c r="I20" s="2">
        <f t="shared" ref="I20" si="113">SUM(I18:I19)</f>
        <v>537958.50173601659</v>
      </c>
      <c r="J20" s="2">
        <f t="shared" ref="J20" si="114">SUM(J18:J19)</f>
        <v>460408.43430582946</v>
      </c>
      <c r="K20" s="2">
        <f t="shared" ref="K20" si="115">SUM(K18:K19)</f>
        <v>384433.46465385961</v>
      </c>
      <c r="L20" s="2">
        <f t="shared" ref="L20" si="116">SUM(L18:L19)</f>
        <v>310012.17775364802</v>
      </c>
      <c r="M20" s="2">
        <f t="shared" ref="M20" si="117">SUM(M18:M19)</f>
        <v>237136.27898916404</v>
      </c>
      <c r="N20" s="2">
        <f t="shared" ref="N20" si="118">SUM(N18:N19)</f>
        <v>165781.98060177802</v>
      </c>
      <c r="O20" s="2">
        <f t="shared" ref="O20" si="119">SUM(O18:O19)</f>
        <v>2579575.4627932636</v>
      </c>
      <c r="P20" s="2">
        <f t="shared" ref="P20" si="120">SUM(P18:P19)</f>
        <v>2499862.1477942248</v>
      </c>
      <c r="Q20" s="2">
        <f t="shared" ref="Q20" si="121">SUM(Q18:Q19)</f>
        <v>2421650.037599768</v>
      </c>
      <c r="R20" s="2">
        <f t="shared" ref="R20" si="122">SUM(R18:R19)</f>
        <v>2344907.4196307994</v>
      </c>
      <c r="S20" s="2">
        <f t="shared" ref="S20" si="123">SUM(S18:S19)</f>
        <v>2269630.7018062286</v>
      </c>
      <c r="T20" s="2">
        <f t="shared" ref="T20" si="124">SUM(T18:T19)</f>
        <v>2195796.5840172479</v>
      </c>
      <c r="U20" s="2">
        <f t="shared" ref="U20" si="125">SUM(U18:U19)</f>
        <v>2123433.5531148715</v>
      </c>
      <c r="V20" s="2">
        <f t="shared" ref="V20" si="126">SUM(V18:V19)</f>
        <v>2052547.0293661347</v>
      </c>
      <c r="W20" s="2">
        <f t="shared" ref="W20" si="127">SUM(W18:W19)</f>
        <v>1983138.8805009048</v>
      </c>
      <c r="X20" s="2">
        <f t="shared" ref="X20" si="128">SUM(X18:X19)</f>
        <v>1904852.5869877473</v>
      </c>
      <c r="Y20" s="2">
        <f t="shared" ref="Y20" si="129">SUM(Y18:Y19)</f>
        <v>1832786.593528138</v>
      </c>
      <c r="Z20" s="2">
        <f t="shared" ref="Z20" si="130">SUM(Z18:Z19)</f>
        <v>1761951.4358692064</v>
      </c>
      <c r="AA20" s="2">
        <f t="shared" ref="AA20" si="131">SUM(AA18:AA19)</f>
        <v>1692329.9725839042</v>
      </c>
      <c r="AB20" s="2">
        <f t="shared" ref="AB20" si="132">SUM(AB18:AB19)</f>
        <v>1623934.5277945178</v>
      </c>
      <c r="AC20" s="2">
        <f t="shared" ref="AC20" si="133">SUM(AC18:AC19)</f>
        <v>1556790.7156710133</v>
      </c>
      <c r="AD20" s="2">
        <f t="shared" ref="AD20" si="134">SUM(AD18:AD19)</f>
        <v>1490907.5751220849</v>
      </c>
      <c r="AE20" s="2">
        <f t="shared" ref="AE20" si="135">SUM(AE18:AE19)</f>
        <v>1426300.7606189614</v>
      </c>
      <c r="AF20" s="2">
        <f t="shared" ref="AF20" si="136">SUM(AF18:AF19)</f>
        <v>1362980.7134985304</v>
      </c>
      <c r="AG20" s="2">
        <f t="shared" ref="AG20" si="137">SUM(AG18:AG19)</f>
        <v>1301008.3043439249</v>
      </c>
      <c r="AH20" s="2">
        <f t="shared" ref="AH20" si="138">SUM(AH18:AH19)</f>
        <v>1240408.2925655786</v>
      </c>
      <c r="AI20" s="2">
        <f t="shared" ref="AI20" si="139">SUM(AI18:AI19)</f>
        <v>1181237.6992618688</v>
      </c>
      <c r="AJ20" s="2">
        <f t="shared" ref="AJ20" si="140">SUM(AJ18:AJ19)</f>
        <v>1123563.4270946719</v>
      </c>
      <c r="AK20" s="2">
        <f t="shared" ref="AK20" si="141">SUM(AK18:AK19)</f>
        <v>1067426.1664378331</v>
      </c>
      <c r="AL20" s="2">
        <f t="shared" ref="AL20" si="142">SUM(AL18:AL19)</f>
        <v>1012930.2462679339</v>
      </c>
      <c r="AM20" s="2">
        <f t="shared" ref="AM20" si="143">SUM(AM18:AM19)</f>
        <v>960144.16779203294</v>
      </c>
      <c r="AN20" s="2">
        <f t="shared" ref="AN20" si="144">SUM(AN18:AN19)</f>
        <v>909168.91946501285</v>
      </c>
      <c r="AO20" s="2">
        <f t="shared" ref="AO20" si="145">SUM(AO18:AO19)</f>
        <v>860120.92279771902</v>
      </c>
      <c r="AP20" s="2">
        <f t="shared" ref="AP20" si="146">SUM(AP18:AP19)</f>
        <v>813132.18830418028</v>
      </c>
      <c r="AQ20" s="2">
        <f t="shared" ref="AQ20" si="147">SUM(AQ18:AQ19)</f>
        <v>768373.65942772478</v>
      </c>
      <c r="AR20" s="2">
        <f t="shared" ref="AR20" si="148">SUM(AR18:AR19)</f>
        <v>725974.28204672551</v>
      </c>
      <c r="AS20" s="2">
        <f t="shared" ref="AS20" si="149">SUM(AS18:AS19)</f>
        <v>686125.93726493232</v>
      </c>
      <c r="AT20" s="2">
        <f t="shared" ref="AT20" si="150">SUM(AT18:AT19)</f>
        <v>649062.82206597831</v>
      </c>
      <c r="AU20" s="2">
        <f t="shared" ref="AU20" si="151">SUM(AU18:AU19)</f>
        <v>614988.36858665338</v>
      </c>
      <c r="AV20" s="2">
        <f t="shared" ref="AV20" si="152">SUM(AV18:AV19)</f>
        <v>584173.94898870494</v>
      </c>
      <c r="AW20" s="2">
        <f t="shared" ref="AW20" si="153">SUM(AW18:AW19)</f>
        <v>556910.95731726661</v>
      </c>
      <c r="AX20" s="2">
        <f t="shared" ref="AX20" si="154">SUM(AX18:AX19)</f>
        <v>533511.15461601457</v>
      </c>
      <c r="AY20" s="2">
        <f t="shared" ref="AY20" si="155">SUM(AY18:AY19)</f>
        <v>514334.19757118588</v>
      </c>
      <c r="AZ20" s="2">
        <f t="shared" ref="AZ20" si="156">SUM(AZ18:AZ19)</f>
        <v>499786.4704944184</v>
      </c>
      <c r="BA20" s="2">
        <f t="shared" ref="BA20" si="157">SUM(BA18:BA19)</f>
        <v>490297.56036347291</v>
      </c>
      <c r="BB20" s="2">
        <f t="shared" ref="BB20" si="158">SUM(BB18:BB19)</f>
        <v>486390.3893062775</v>
      </c>
      <c r="BC20" s="2">
        <f t="shared" ref="BC20" si="159">SUM(BC18:BC19)</f>
        <v>488627.52022897126</v>
      </c>
      <c r="BD20" s="2">
        <f t="shared" ref="BD20" si="160">SUM(BD18:BD19)</f>
        <v>497599.82685346482</v>
      </c>
      <c r="BE20" s="2">
        <f t="shared" ref="BE20" si="161">SUM(BE18:BE19)</f>
        <v>503907.69819989614</v>
      </c>
      <c r="BF20" s="2">
        <f t="shared" ref="BF20" si="162">SUM(BF18:BF19)</f>
        <v>523442.26037270995</v>
      </c>
      <c r="BG20" s="2">
        <f t="shared" ref="BG20" si="163">SUM(BG18:BG19)</f>
        <v>552044.12018460594</v>
      </c>
      <c r="BH20" s="2">
        <f t="shared" ref="BH20" si="164">SUM(BH18:BH19)</f>
        <v>590659.5076835365</v>
      </c>
      <c r="BI20" s="2">
        <f t="shared" ref="BI20" si="165">SUM(BI18:BI19)</f>
        <v>640331.95397892501</v>
      </c>
      <c r="BJ20" s="2">
        <f t="shared" ref="BJ20" si="166">SUM(BJ18:BJ19)</f>
        <v>702275.89741175715</v>
      </c>
    </row>
    <row r="21" spans="1:62" x14ac:dyDescent="0.2">
      <c r="A21" s="26"/>
      <c r="C21" s="64"/>
      <c r="D21" s="64"/>
      <c r="E21" s="64"/>
      <c r="F21" s="64"/>
      <c r="G21" s="6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s="23" customFormat="1" x14ac:dyDescent="0.2">
      <c r="A22" s="23" t="s">
        <v>114</v>
      </c>
      <c r="C22" s="23">
        <f>C20+C15</f>
        <v>974403.34207833337</v>
      </c>
      <c r="D22" s="23">
        <f t="shared" ref="D22:F22" si="167">D20+D15</f>
        <v>936242.55163566663</v>
      </c>
      <c r="E22" s="23">
        <f t="shared" si="167"/>
        <v>892388.48974879994</v>
      </c>
      <c r="F22" s="23">
        <f t="shared" si="167"/>
        <v>812646.50532026659</v>
      </c>
      <c r="G22" s="23">
        <f t="shared" ref="G22:BJ22" si="168">G20+G15</f>
        <v>741091.31405093335</v>
      </c>
      <c r="H22" s="23">
        <f t="shared" si="168"/>
        <v>670103.24170089583</v>
      </c>
      <c r="I22" s="23">
        <f t="shared" si="168"/>
        <v>597681.91736026679</v>
      </c>
      <c r="J22" s="23">
        <f t="shared" si="168"/>
        <v>526571.94674662163</v>
      </c>
      <c r="K22" s="23">
        <f t="shared" si="168"/>
        <v>456924.82713021454</v>
      </c>
      <c r="L22" s="23">
        <f t="shared" si="168"/>
        <v>388605.68365100789</v>
      </c>
      <c r="M22" s="23">
        <f t="shared" si="168"/>
        <v>321677.50236001646</v>
      </c>
      <c r="N22" s="23">
        <f t="shared" si="168"/>
        <v>256043.4379329707</v>
      </c>
      <c r="O22" s="23">
        <f t="shared" si="168"/>
        <v>2687350.6351352967</v>
      </c>
      <c r="P22" s="23">
        <f t="shared" si="168"/>
        <v>2603085.101410443</v>
      </c>
      <c r="Q22" s="23">
        <f t="shared" si="168"/>
        <v>2530264.8177246796</v>
      </c>
      <c r="R22" s="23">
        <f t="shared" si="168"/>
        <v>2458685.3933082414</v>
      </c>
      <c r="S22" s="23">
        <f t="shared" si="168"/>
        <v>2388519.2383414698</v>
      </c>
      <c r="T22" s="23">
        <f t="shared" si="168"/>
        <v>2319610.2036107341</v>
      </c>
      <c r="U22" s="23">
        <f t="shared" si="168"/>
        <v>2252213.059477746</v>
      </c>
      <c r="V22" s="23">
        <f t="shared" si="168"/>
        <v>2186247.829090171</v>
      </c>
      <c r="W22" s="23">
        <f t="shared" si="168"/>
        <v>2121693.2933633365</v>
      </c>
      <c r="X22" s="23">
        <f t="shared" si="168"/>
        <v>2060093.4955630107</v>
      </c>
      <c r="Y22" s="23">
        <f t="shared" si="168"/>
        <v>1982747.4568198947</v>
      </c>
      <c r="Z22" s="23">
        <f t="shared" si="168"/>
        <v>1916688.5664604397</v>
      </c>
      <c r="AA22" s="23">
        <f t="shared" si="168"/>
        <v>1851781.1164139351</v>
      </c>
      <c r="AB22" s="23">
        <f t="shared" si="168"/>
        <v>1788163.5283564713</v>
      </c>
      <c r="AC22" s="23">
        <f t="shared" si="168"/>
        <v>1725911.9560322948</v>
      </c>
      <c r="AD22" s="23">
        <f t="shared" si="168"/>
        <v>1664957.5558656049</v>
      </c>
      <c r="AE22" s="23">
        <f t="shared" si="168"/>
        <v>1605357.2831870259</v>
      </c>
      <c r="AF22" s="23">
        <f t="shared" si="168"/>
        <v>1547085.6449423432</v>
      </c>
      <c r="AG22" s="23">
        <f t="shared" si="168"/>
        <v>1490427.1496524252</v>
      </c>
      <c r="AH22" s="23">
        <f t="shared" si="168"/>
        <v>1435237.2669703765</v>
      </c>
      <c r="AI22" s="23">
        <f t="shared" si="168"/>
        <v>1381711.7444510818</v>
      </c>
      <c r="AJ22" s="23">
        <f t="shared" si="168"/>
        <v>1329973.665311968</v>
      </c>
      <c r="AK22" s="23">
        <f t="shared" si="168"/>
        <v>1279929.407972025</v>
      </c>
      <c r="AL22" s="23">
        <f t="shared" si="168"/>
        <v>1231979.159678007</v>
      </c>
      <c r="AM22" s="23">
        <f t="shared" si="168"/>
        <v>1186001.014941663</v>
      </c>
      <c r="AN22" s="23">
        <f t="shared" si="168"/>
        <v>1142257.1965367554</v>
      </c>
      <c r="AO22" s="23">
        <f t="shared" si="168"/>
        <v>1100923.6918773709</v>
      </c>
      <c r="AP22" s="23">
        <f t="shared" si="168"/>
        <v>1062192.6281611971</v>
      </c>
      <c r="AQ22" s="23">
        <f t="shared" si="168"/>
        <v>1026403.8417517849</v>
      </c>
      <c r="AR22" s="23">
        <f t="shared" si="168"/>
        <v>993488.31384738651</v>
      </c>
      <c r="AS22" s="23">
        <f t="shared" si="168"/>
        <v>963918.46958145744</v>
      </c>
      <c r="AT22" s="23">
        <f t="shared" si="168"/>
        <v>938112.59580799576</v>
      </c>
      <c r="AU22" s="23">
        <f t="shared" si="168"/>
        <v>916116.9338336736</v>
      </c>
      <c r="AV22" s="23">
        <f t="shared" si="168"/>
        <v>898506.02668518946</v>
      </c>
      <c r="AW22" s="23">
        <f t="shared" si="168"/>
        <v>885650.53413462616</v>
      </c>
      <c r="AX22" s="23">
        <f t="shared" si="168"/>
        <v>877942.77763160598</v>
      </c>
      <c r="AY22" s="23">
        <f t="shared" si="168"/>
        <v>875951.09382948105</v>
      </c>
      <c r="AZ22" s="23">
        <f t="shared" si="168"/>
        <v>880262.72140493582</v>
      </c>
      <c r="BA22" s="23">
        <f t="shared" si="168"/>
        <v>891399.8611936071</v>
      </c>
      <c r="BB22" s="23">
        <f t="shared" si="168"/>
        <v>910293.90494822001</v>
      </c>
      <c r="BC22" s="23">
        <f t="shared" si="168"/>
        <v>937664.78795930243</v>
      </c>
      <c r="BD22" s="23">
        <f t="shared" si="168"/>
        <v>974218.31994600722</v>
      </c>
      <c r="BE22" s="23">
        <f t="shared" si="168"/>
        <v>1022992.9682477864</v>
      </c>
      <c r="BF22" s="23">
        <f t="shared" si="168"/>
        <v>1066307.2471183995</v>
      </c>
      <c r="BG22" s="23">
        <f t="shared" si="168"/>
        <v>1132191.2177988584</v>
      </c>
      <c r="BH22" s="23">
        <f t="shared" si="168"/>
        <v>1212031.0068146337</v>
      </c>
      <c r="BI22" s="23">
        <f t="shared" si="168"/>
        <v>1307281.2556596275</v>
      </c>
      <c r="BJ22" s="23">
        <f t="shared" si="168"/>
        <v>1419877.043032262</v>
      </c>
    </row>
    <row r="23" spans="1:62" x14ac:dyDescent="0.2">
      <c r="C23" s="14">
        <f t="shared" ref="C23:H23" si="169">C22-C9</f>
        <v>0</v>
      </c>
      <c r="D23" s="14">
        <f t="shared" si="169"/>
        <v>0</v>
      </c>
      <c r="E23" s="14">
        <f t="shared" si="169"/>
        <v>0</v>
      </c>
      <c r="F23" s="14">
        <f t="shared" si="169"/>
        <v>0</v>
      </c>
      <c r="G23" s="14">
        <f t="shared" si="169"/>
        <v>0</v>
      </c>
      <c r="H23" s="14">
        <f t="shared" si="169"/>
        <v>0</v>
      </c>
    </row>
    <row r="24" spans="1:62" x14ac:dyDescent="0.2">
      <c r="C24" s="1"/>
    </row>
    <row r="25" spans="1:62" s="54" customFormat="1" x14ac:dyDescent="0.2">
      <c r="A25" s="54" t="s">
        <v>147</v>
      </c>
      <c r="C25" s="55">
        <f>RevenueMultiple*12*'Monthly Income Statement'!C8+C9</f>
        <v>1191199.1667783335</v>
      </c>
      <c r="E25" s="55">
        <f>RevenueMultiple*12*'Monthly Income Statement'!E8+E9</f>
        <v>1153599.6765367999</v>
      </c>
      <c r="F25" s="55">
        <f>RevenueMultiple*12*'Monthly Income Statement'!F8+F9</f>
        <v>1107657.9796082666</v>
      </c>
      <c r="G25" s="55">
        <f>RevenueMultiple*12*'Monthly Income Statement'!G8+G9</f>
        <v>2089009.0778909335</v>
      </c>
      <c r="H25" s="55">
        <f>RevenueMultiple*12*'Monthly Income Statement'!H8+H9</f>
        <v>2305075.1116741439</v>
      </c>
      <c r="I25" s="55">
        <f>RevenueMultiple*12*'Monthly Income Statement'!I8+I9</f>
        <v>2529607.5662440266</v>
      </c>
      <c r="J25" s="55">
        <f>RevenueMultiple*12*'Monthly Income Statement'!J8+J9</f>
        <v>2745973.2741591623</v>
      </c>
      <c r="K25" s="55">
        <f>RevenueMultiple*12*'Monthly Income Statement'!K8+K9</f>
        <v>2960667.5223026685</v>
      </c>
      <c r="L25" s="55">
        <f>RevenueMultiple*12*'Monthly Income Statement'!L8+L9</f>
        <v>3168633.6465591094</v>
      </c>
      <c r="M25" s="55">
        <f>RevenueMultiple*12*'Monthly Income Statement'!M8+M9</f>
        <v>3372860.2776165502</v>
      </c>
      <c r="N25" s="55">
        <f>RevenueMultiple*12*'Monthly Income Statement'!N8+N9</f>
        <v>3570129.2546255901</v>
      </c>
      <c r="O25" s="55">
        <f>RevenueMultiple*12*'Monthly Income Statement'!O8+O9</f>
        <v>6260714.7368854322</v>
      </c>
      <c r="P25" s="55">
        <f>RevenueMultiple*12*'Monthly Income Statement'!P8+P9</f>
        <v>6429474.809954647</v>
      </c>
      <c r="Q25" s="55">
        <f>RevenueMultiple*12*'Monthly Income Statement'!Q8+Q9</f>
        <v>6608481.6098046023</v>
      </c>
      <c r="R25" s="55">
        <f>RevenueMultiple*12*'Monthly Income Statement'!R8+R9</f>
        <v>6779967.5254933909</v>
      </c>
      <c r="S25" s="55">
        <f>RevenueMultiple*12*'Monthly Income Statement'!S8+S9</f>
        <v>6951072.2649244387</v>
      </c>
      <c r="T25" s="55">
        <f>RevenueMultiple*12*'Monthly Income Statement'!T8+T9</f>
        <v>7116471.7240764964</v>
      </c>
      <c r="U25" s="55">
        <f>RevenueMultiple*12*'Monthly Income Statement'!U8+U9</f>
        <v>7286316.3962213956</v>
      </c>
      <c r="V25" s="55">
        <f>RevenueMultiple*12*'Monthly Income Statement'!V8+V9</f>
        <v>7456580.395887034</v>
      </c>
      <c r="W25" s="55">
        <f>RevenueMultiple*12*'Monthly Income Statement'!W8+W9</f>
        <v>7626336.7473224998</v>
      </c>
      <c r="X25" s="55">
        <f>RevenueMultiple*12*'Monthly Income Statement'!X8+X9</f>
        <v>7782643.1420314703</v>
      </c>
      <c r="Y25" s="55">
        <f>RevenueMultiple*12*'Monthly Income Statement'!Y8+Y9</f>
        <v>7920113.7479960332</v>
      </c>
      <c r="Z25" s="55">
        <f>RevenueMultiple*12*'Monthly Income Statement'!Z8+Z9</f>
        <v>8071193.0246615475</v>
      </c>
      <c r="AA25" s="55">
        <f>RevenueMultiple*12*'Monthly Income Statement'!AA8+AA9</f>
        <v>8220527.6341967164</v>
      </c>
      <c r="AB25" s="55">
        <f>RevenueMultiple*12*'Monthly Income Statement'!AB8+AB9</f>
        <v>8373806.8578518946</v>
      </c>
      <c r="AC25" s="55">
        <f>RevenueMultiple*12*'Monthly Income Statement'!AC8+AC9</f>
        <v>8533420.4394604713</v>
      </c>
      <c r="AD25" s="55">
        <f>RevenueMultiple*12*'Monthly Income Statement'!AD8+AD9</f>
        <v>8695968.5452355072</v>
      </c>
      <c r="AE25" s="55">
        <f>RevenueMultiple*12*'Monthly Income Statement'!AE8+AE9</f>
        <v>8863144.0900415517</v>
      </c>
      <c r="AF25" s="55">
        <f>RevenueMultiple*12*'Monthly Income Statement'!AF8+AF9</f>
        <v>9033530.7610308547</v>
      </c>
      <c r="AG25" s="55">
        <f>RevenueMultiple*12*'Monthly Income Statement'!AG8+AG9</f>
        <v>9217147.9596310854</v>
      </c>
      <c r="AH25" s="55">
        <f>RevenueMultiple*12*'Monthly Income Statement'!AH8+AH9</f>
        <v>9406605.7924135365</v>
      </c>
      <c r="AI25" s="55">
        <f>RevenueMultiple*12*'Monthly Income Statement'!AI8+AI9</f>
        <v>9608197.5019048918</v>
      </c>
      <c r="AJ25" s="55">
        <f>RevenueMultiple*12*'Monthly Income Statement'!AJ8+AJ9</f>
        <v>9824324.4817990456</v>
      </c>
      <c r="AK25" s="55">
        <f>RevenueMultiple*12*'Monthly Income Statement'!AK8+AK9</f>
        <v>10049291.014587456</v>
      </c>
      <c r="AL25" s="55">
        <f>RevenueMultiple*12*'Monthly Income Statement'!AL8+AL9</f>
        <v>10296191.351786248</v>
      </c>
      <c r="AM25" s="55">
        <f>RevenueMultiple*12*'Monthly Income Statement'!AM8+AM9</f>
        <v>10557041.720876515</v>
      </c>
      <c r="AN25" s="55">
        <f>RevenueMultiple*12*'Monthly Income Statement'!AN8+AN9</f>
        <v>10838890.609067818</v>
      </c>
      <c r="AO25" s="55">
        <f>RevenueMultiple*12*'Monthly Income Statement'!AO8+AO9</f>
        <v>11144626.964229286</v>
      </c>
      <c r="AP25" s="55">
        <f>RevenueMultiple*12*'Monthly Income Statement'!AP8+AP9</f>
        <v>11477181.754259391</v>
      </c>
      <c r="AQ25" s="55">
        <f>RevenueMultiple*12*'Monthly Income Statement'!AQ8+AQ9</f>
        <v>11844297.578886254</v>
      </c>
      <c r="AR25" s="55">
        <f>RevenueMultiple*12*'Monthly Income Statement'!AR8+AR9</f>
        <v>12237446.625007249</v>
      </c>
      <c r="AS25" s="55">
        <f>RevenueMultiple*12*'Monthly Income Statement'!AS8+AS9</f>
        <v>12669293.752169607</v>
      </c>
      <c r="AT25" s="55">
        <f>RevenueMultiple*12*'Monthly Income Statement'!AT8+AT9</f>
        <v>13148318.896131268</v>
      </c>
      <c r="AU25" s="55">
        <f>RevenueMultiple*12*'Monthly Income Statement'!AU8+AU9</f>
        <v>13668006.682484774</v>
      </c>
      <c r="AV25" s="55">
        <f>RevenueMultiple*12*'Monthly Income Statement'!AV8+AV9</f>
        <v>14242103.181702811</v>
      </c>
      <c r="AW25" s="55">
        <f>RevenueMultiple*12*'Monthly Income Statement'!AW8+AW9</f>
        <v>14874558.338369098</v>
      </c>
      <c r="AX25" s="55">
        <f>RevenueMultiple*12*'Monthly Income Statement'!AX8+AX9</f>
        <v>15569403.306024238</v>
      </c>
      <c r="AY25" s="55">
        <f>RevenueMultiple*12*'Monthly Income Statement'!AY8+AY9</f>
        <v>16336340.558888605</v>
      </c>
      <c r="AZ25" s="55">
        <f>RevenueMultiple*12*'Monthly Income Statement'!AZ8+AZ9</f>
        <v>17184186.624114398</v>
      </c>
      <c r="BA25" s="55">
        <f>RevenueMultiple*12*'Monthly Income Statement'!BA8+BA9</f>
        <v>18117634.2782409</v>
      </c>
      <c r="BB25" s="55">
        <f>RevenueMultiple*12*'Monthly Income Statement'!BB8+BB9</f>
        <v>19155469.11077477</v>
      </c>
      <c r="BC25" s="55">
        <f>RevenueMultiple*12*'Monthly Income Statement'!BC8+BC9</f>
        <v>20305510.675230868</v>
      </c>
      <c r="BD25" s="55">
        <f>RevenueMultiple*12*'Monthly Income Statement'!BD8+BD9</f>
        <v>21573611.510191888</v>
      </c>
      <c r="BE25" s="55">
        <f>RevenueMultiple*12*'Monthly Income Statement'!BE8+BE9</f>
        <v>22986523.350470372</v>
      </c>
      <c r="BF25" s="55">
        <f>RevenueMultiple*12*'Monthly Income Statement'!BF8+BF9</f>
        <v>24536830.579857919</v>
      </c>
      <c r="BG25" s="55">
        <f>RevenueMultiple*12*'Monthly Income Statement'!BG8+BG9</f>
        <v>26265215.734940182</v>
      </c>
      <c r="BH25" s="55">
        <f>RevenueMultiple*12*'Monthly Income Statement'!BH8+BH9</f>
        <v>28182599.230683379</v>
      </c>
      <c r="BI25" s="55">
        <f>RevenueMultiple*12*'Monthly Income Statement'!BI8+BI9</f>
        <v>30308607.083804008</v>
      </c>
      <c r="BJ25" s="55">
        <f>RevenueMultiple*12*'Monthly Income Statement'!BJ8+BJ9</f>
        <v>32677048.017617349</v>
      </c>
    </row>
    <row r="26" spans="1:62" s="54" customFormat="1" x14ac:dyDescent="0.2">
      <c r="A26" s="54" t="s">
        <v>148</v>
      </c>
      <c r="C26" s="56">
        <f>C34*C25</f>
        <v>774279.45840591681</v>
      </c>
      <c r="D26" s="56">
        <f t="shared" ref="D26:BJ26" si="170">D34*D25</f>
        <v>0</v>
      </c>
      <c r="E26" s="56">
        <f t="shared" si="170"/>
        <v>749839.78974891989</v>
      </c>
      <c r="F26" s="56">
        <f t="shared" si="170"/>
        <v>719977.6867453733</v>
      </c>
      <c r="G26" s="56">
        <f t="shared" si="170"/>
        <v>1357855.9006291069</v>
      </c>
      <c r="H26" s="56">
        <f t="shared" si="170"/>
        <v>1498298.8225881937</v>
      </c>
      <c r="I26" s="56">
        <f t="shared" si="170"/>
        <v>1644244.9180586173</v>
      </c>
      <c r="J26" s="56">
        <f t="shared" si="170"/>
        <v>1784882.6282034556</v>
      </c>
      <c r="K26" s="56">
        <f t="shared" si="170"/>
        <v>1924433.8894967346</v>
      </c>
      <c r="L26" s="56">
        <f t="shared" si="170"/>
        <v>2059611.8702634212</v>
      </c>
      <c r="M26" s="56">
        <f t="shared" si="170"/>
        <v>2192359.1804507575</v>
      </c>
      <c r="N26" s="56">
        <f t="shared" si="170"/>
        <v>2320584.0155066336</v>
      </c>
      <c r="O26" s="56">
        <f t="shared" si="170"/>
        <v>2501235.9936501286</v>
      </c>
      <c r="P26" s="56">
        <f t="shared" si="170"/>
        <v>2568657.8115721084</v>
      </c>
      <c r="Q26" s="56">
        <f t="shared" si="170"/>
        <v>2640173.3285233844</v>
      </c>
      <c r="R26" s="56">
        <f t="shared" si="170"/>
        <v>2708684.1556016086</v>
      </c>
      <c r="S26" s="56">
        <f t="shared" si="170"/>
        <v>2777042.6978663807</v>
      </c>
      <c r="T26" s="56">
        <f t="shared" si="170"/>
        <v>2843121.9073413038</v>
      </c>
      <c r="U26" s="56">
        <f t="shared" si="170"/>
        <v>2910977.0365321711</v>
      </c>
      <c r="V26" s="56">
        <f t="shared" si="170"/>
        <v>2978999.6924563395</v>
      </c>
      <c r="W26" s="56">
        <f t="shared" si="170"/>
        <v>3046819.5363887809</v>
      </c>
      <c r="X26" s="56">
        <f t="shared" si="170"/>
        <v>3109265.9497639821</v>
      </c>
      <c r="Y26" s="56">
        <f t="shared" si="170"/>
        <v>3164187.2234776146</v>
      </c>
      <c r="Z26" s="56">
        <f t="shared" si="170"/>
        <v>3224545.336020912</v>
      </c>
      <c r="AA26" s="56">
        <f t="shared" si="170"/>
        <v>3284206.4316249695</v>
      </c>
      <c r="AB26" s="56">
        <f t="shared" si="170"/>
        <v>3345443.4512620927</v>
      </c>
      <c r="AC26" s="56">
        <f t="shared" si="170"/>
        <v>3409211.1283042496</v>
      </c>
      <c r="AD26" s="56">
        <f t="shared" si="170"/>
        <v>3474151.1854623929</v>
      </c>
      <c r="AE26" s="56">
        <f t="shared" si="170"/>
        <v>3540939.963980509</v>
      </c>
      <c r="AF26" s="56">
        <f t="shared" si="170"/>
        <v>3609011.6286749272</v>
      </c>
      <c r="AG26" s="56">
        <f t="shared" si="170"/>
        <v>3682369.0591750392</v>
      </c>
      <c r="AH26" s="56">
        <f t="shared" si="170"/>
        <v>3758059.8980887695</v>
      </c>
      <c r="AI26" s="56">
        <f t="shared" si="170"/>
        <v>3838598.376679807</v>
      </c>
      <c r="AJ26" s="56">
        <f t="shared" si="170"/>
        <v>3924943.8825891023</v>
      </c>
      <c r="AK26" s="56">
        <f t="shared" si="170"/>
        <v>4014820.903476493</v>
      </c>
      <c r="AL26" s="56">
        <f t="shared" si="170"/>
        <v>4113460.761096518</v>
      </c>
      <c r="AM26" s="56">
        <f t="shared" si="170"/>
        <v>4217673.8357286444</v>
      </c>
      <c r="AN26" s="56">
        <f t="shared" si="170"/>
        <v>4330276.0885929978</v>
      </c>
      <c r="AO26" s="56">
        <f t="shared" si="170"/>
        <v>4452421.6914890809</v>
      </c>
      <c r="AP26" s="56">
        <f t="shared" si="170"/>
        <v>4585281.6037581172</v>
      </c>
      <c r="AQ26" s="56">
        <f t="shared" si="170"/>
        <v>4731949.0934914164</v>
      </c>
      <c r="AR26" s="56">
        <f t="shared" si="170"/>
        <v>4889017.1897637993</v>
      </c>
      <c r="AS26" s="56">
        <f t="shared" si="170"/>
        <v>5061545.6667201286</v>
      </c>
      <c r="AT26" s="56">
        <f t="shared" si="170"/>
        <v>5252922.3676711125</v>
      </c>
      <c r="AU26" s="56">
        <f t="shared" si="170"/>
        <v>5460544.3168120822</v>
      </c>
      <c r="AV26" s="56">
        <f t="shared" si="170"/>
        <v>5689903.2459472315</v>
      </c>
      <c r="AW26" s="56">
        <f t="shared" si="170"/>
        <v>5942577.2086983779</v>
      </c>
      <c r="AX26" s="56">
        <f t="shared" si="170"/>
        <v>6220176.7027092334</v>
      </c>
      <c r="AY26" s="56">
        <f t="shared" si="170"/>
        <v>6526577.9911170499</v>
      </c>
      <c r="AZ26" s="56">
        <f t="shared" si="170"/>
        <v>6865303.38982007</v>
      </c>
      <c r="BA26" s="56">
        <f t="shared" si="170"/>
        <v>7238227.7233524714</v>
      </c>
      <c r="BB26" s="56">
        <f t="shared" si="170"/>
        <v>7652856.076135233</v>
      </c>
      <c r="BC26" s="56">
        <f t="shared" si="170"/>
        <v>8112312.4602863984</v>
      </c>
      <c r="BD26" s="56">
        <f t="shared" si="170"/>
        <v>8618935.0401805583</v>
      </c>
      <c r="BE26" s="56">
        <f t="shared" si="170"/>
        <v>9183411.4776610956</v>
      </c>
      <c r="BF26" s="56">
        <f t="shared" si="170"/>
        <v>9802779.1387548838</v>
      </c>
      <c r="BG26" s="56">
        <f t="shared" si="170"/>
        <v>10493291.219637994</v>
      </c>
      <c r="BH26" s="56">
        <f t="shared" si="170"/>
        <v>11259310.566427369</v>
      </c>
      <c r="BI26" s="56">
        <f t="shared" si="170"/>
        <v>12108678.025014622</v>
      </c>
      <c r="BJ26" s="56">
        <f t="shared" si="170"/>
        <v>13054900.614839138</v>
      </c>
    </row>
    <row r="27" spans="1:62" s="54" customFormat="1" x14ac:dyDescent="0.2"/>
    <row r="28" spans="1:62" s="54" customFormat="1" x14ac:dyDescent="0.2">
      <c r="A28" s="54" t="s">
        <v>154</v>
      </c>
    </row>
    <row r="29" spans="1:62" s="55" customFormat="1" x14ac:dyDescent="0.2">
      <c r="A29" s="55" t="s">
        <v>156</v>
      </c>
      <c r="C29" s="55">
        <f>PreMoneyMonth1</f>
        <v>3000000</v>
      </c>
      <c r="D29" s="55">
        <f>RevenueMultiple*12*'Monthly Income Statement'!D8+D9</f>
        <v>1172726.0550756669</v>
      </c>
      <c r="E29" s="55">
        <f>RevenueMultiple*12*'Monthly Income Statement'!E8+E9</f>
        <v>1153599.6765367999</v>
      </c>
      <c r="F29" s="55">
        <f>RevenueMultiple*12*'Monthly Income Statement'!F8+F9</f>
        <v>1107657.9796082666</v>
      </c>
      <c r="G29" s="55">
        <f>RevenueMultiple*12*'Monthly Income Statement'!G8+G9</f>
        <v>2089009.0778909335</v>
      </c>
      <c r="H29" s="55">
        <f>RevenueMultiple*12*'Monthly Income Statement'!H8+H9</f>
        <v>2305075.1116741439</v>
      </c>
      <c r="I29" s="55">
        <f>RevenueMultiple*12*'Monthly Income Statement'!I8+I9</f>
        <v>2529607.5662440266</v>
      </c>
      <c r="J29" s="55">
        <f>RevenueMultiple*12*'Monthly Income Statement'!J8+J9</f>
        <v>2745973.2741591623</v>
      </c>
      <c r="K29" s="55">
        <f>RevenueMultiple*12*'Monthly Income Statement'!K8+K9</f>
        <v>2960667.5223026685</v>
      </c>
      <c r="L29" s="55">
        <f>RevenueMultiple*12*'Monthly Income Statement'!L8+L9</f>
        <v>3168633.6465591094</v>
      </c>
      <c r="M29" s="55">
        <f>RevenueMultiple*12*'Monthly Income Statement'!M8+M9</f>
        <v>3372860.2776165502</v>
      </c>
      <c r="N29" s="55">
        <f>RevenueMultiple*12*'Monthly Income Statement'!N8+N9</f>
        <v>3570129.2546255901</v>
      </c>
      <c r="O29" s="55">
        <f>RevenueMultiple*12*'Monthly Income Statement'!O8+O9</f>
        <v>6260714.7368854322</v>
      </c>
      <c r="P29" s="55">
        <f>RevenueMultiple*12*'Monthly Income Statement'!P8+P9</f>
        <v>6429474.809954647</v>
      </c>
      <c r="Q29" s="55">
        <f>RevenueMultiple*12*'Monthly Income Statement'!Q8+Q9</f>
        <v>6608481.6098046023</v>
      </c>
      <c r="R29" s="55">
        <f>RevenueMultiple*12*'Monthly Income Statement'!R8+R9</f>
        <v>6779967.5254933909</v>
      </c>
      <c r="S29" s="55">
        <f>RevenueMultiple*12*'Monthly Income Statement'!S8+S9</f>
        <v>6951072.2649244387</v>
      </c>
      <c r="T29" s="55">
        <f>RevenueMultiple*12*'Monthly Income Statement'!T8+T9</f>
        <v>7116471.7240764964</v>
      </c>
      <c r="U29" s="55">
        <f>RevenueMultiple*12*'Monthly Income Statement'!U8+U9</f>
        <v>7286316.3962213956</v>
      </c>
      <c r="V29" s="55">
        <f>RevenueMultiple*12*'Monthly Income Statement'!V8+V9</f>
        <v>7456580.395887034</v>
      </c>
      <c r="W29" s="55">
        <f>RevenueMultiple*12*'Monthly Income Statement'!W8+W9</f>
        <v>7626336.7473224998</v>
      </c>
      <c r="X29" s="55">
        <f>RevenueMultiple*12*'Monthly Income Statement'!X8+X9</f>
        <v>7782643.1420314703</v>
      </c>
      <c r="Y29" s="55">
        <f>RevenueMultiple*12*'Monthly Income Statement'!Y8+Y9</f>
        <v>7920113.7479960332</v>
      </c>
      <c r="Z29" s="55">
        <f>RevenueMultiple*12*'Monthly Income Statement'!Z8+Z9</f>
        <v>8071193.0246615475</v>
      </c>
      <c r="AA29" s="55">
        <f>RevenueMultiple*12*'Monthly Income Statement'!AA8+AA9</f>
        <v>8220527.6341967164</v>
      </c>
      <c r="AB29" s="55">
        <f>RevenueMultiple*12*'Monthly Income Statement'!AB8+AB9</f>
        <v>8373806.8578518946</v>
      </c>
      <c r="AC29" s="55">
        <f>RevenueMultiple*12*'Monthly Income Statement'!AC8+AC9</f>
        <v>8533420.4394604713</v>
      </c>
      <c r="AD29" s="55">
        <f>RevenueMultiple*12*'Monthly Income Statement'!AD8+AD9</f>
        <v>8695968.5452355072</v>
      </c>
      <c r="AE29" s="55">
        <f>RevenueMultiple*12*'Monthly Income Statement'!AE8+AE9</f>
        <v>8863144.0900415517</v>
      </c>
      <c r="AF29" s="55">
        <f>RevenueMultiple*12*'Monthly Income Statement'!AF8+AF9</f>
        <v>9033530.7610308547</v>
      </c>
      <c r="AG29" s="55">
        <f>RevenueMultiple*12*'Monthly Income Statement'!AG8+AG9</f>
        <v>9217147.9596310854</v>
      </c>
      <c r="AH29" s="55">
        <f>RevenueMultiple*12*'Monthly Income Statement'!AH8+AH9</f>
        <v>9406605.7924135365</v>
      </c>
      <c r="AI29" s="55">
        <f>RevenueMultiple*12*'Monthly Income Statement'!AI8+AI9</f>
        <v>9608197.5019048918</v>
      </c>
      <c r="AJ29" s="55">
        <f>RevenueMultiple*12*'Monthly Income Statement'!AJ8+AJ9</f>
        <v>9824324.4817990456</v>
      </c>
      <c r="AK29" s="55">
        <f>RevenueMultiple*12*'Monthly Income Statement'!AK8+AK9</f>
        <v>10049291.014587456</v>
      </c>
      <c r="AL29" s="55">
        <f>RevenueMultiple*12*'Monthly Income Statement'!AL8+AL9</f>
        <v>10296191.351786248</v>
      </c>
      <c r="AM29" s="55">
        <f>RevenueMultiple*12*'Monthly Income Statement'!AM8+AM9</f>
        <v>10557041.720876515</v>
      </c>
      <c r="AN29" s="55">
        <f>RevenueMultiple*12*'Monthly Income Statement'!AN8+AN9</f>
        <v>10838890.609067818</v>
      </c>
      <c r="AO29" s="55">
        <f>RevenueMultiple*12*'Monthly Income Statement'!AO8+AO9</f>
        <v>11144626.964229286</v>
      </c>
      <c r="AP29" s="55">
        <f>RevenueMultiple*12*'Monthly Income Statement'!AP8+AP9</f>
        <v>11477181.754259391</v>
      </c>
      <c r="AQ29" s="55">
        <f>RevenueMultiple*12*'Monthly Income Statement'!AQ8+AQ9</f>
        <v>11844297.578886254</v>
      </c>
      <c r="AR29" s="55">
        <f>RevenueMultiple*12*'Monthly Income Statement'!AR8+AR9</f>
        <v>12237446.625007249</v>
      </c>
      <c r="AS29" s="55">
        <f>RevenueMultiple*12*'Monthly Income Statement'!AS8+AS9</f>
        <v>12669293.752169607</v>
      </c>
      <c r="AT29" s="55">
        <f>RevenueMultiple*12*'Monthly Income Statement'!AT8+AT9</f>
        <v>13148318.896131268</v>
      </c>
      <c r="AU29" s="55">
        <f>RevenueMultiple*12*'Monthly Income Statement'!AU8+AU9</f>
        <v>13668006.682484774</v>
      </c>
      <c r="AV29" s="55">
        <f>RevenueMultiple*12*'Monthly Income Statement'!AV8+AV9</f>
        <v>14242103.181702811</v>
      </c>
      <c r="AW29" s="55">
        <f>RevenueMultiple*12*'Monthly Income Statement'!AW8+AW9</f>
        <v>14874558.338369098</v>
      </c>
      <c r="AX29" s="55">
        <f>RevenueMultiple*12*'Monthly Income Statement'!AX8+AX9</f>
        <v>15569403.306024238</v>
      </c>
      <c r="AY29" s="55">
        <f>RevenueMultiple*12*'Monthly Income Statement'!AY8+AY9</f>
        <v>16336340.558888605</v>
      </c>
      <c r="AZ29" s="55">
        <f>RevenueMultiple*12*'Monthly Income Statement'!AZ8+AZ9</f>
        <v>17184186.624114398</v>
      </c>
      <c r="BA29" s="55">
        <f>RevenueMultiple*12*'Monthly Income Statement'!BA8+BA9</f>
        <v>18117634.2782409</v>
      </c>
      <c r="BB29" s="55">
        <f>RevenueMultiple*12*'Monthly Income Statement'!BB8+BB9</f>
        <v>19155469.11077477</v>
      </c>
      <c r="BC29" s="55">
        <f>RevenueMultiple*12*'Monthly Income Statement'!BC8+BC9</f>
        <v>20305510.675230868</v>
      </c>
      <c r="BD29" s="55">
        <f>RevenueMultiple*12*'Monthly Income Statement'!BD8+BD9</f>
        <v>21573611.510191888</v>
      </c>
      <c r="BE29" s="55">
        <f>RevenueMultiple*12*'Monthly Income Statement'!BE8+BE9</f>
        <v>22986523.350470372</v>
      </c>
      <c r="BF29" s="55">
        <f>RevenueMultiple*12*'Monthly Income Statement'!BF8+BF9</f>
        <v>24536830.579857919</v>
      </c>
      <c r="BG29" s="55">
        <f>RevenueMultiple*12*'Monthly Income Statement'!BG8+BG9</f>
        <v>26265215.734940182</v>
      </c>
      <c r="BH29" s="55">
        <f>RevenueMultiple*12*'Monthly Income Statement'!BH8+BH9</f>
        <v>28182599.230683379</v>
      </c>
      <c r="BI29" s="55">
        <f>RevenueMultiple*12*'Monthly Income Statement'!BI8+BI9</f>
        <v>30308607.083804008</v>
      </c>
      <c r="BJ29" s="55">
        <f>RevenueMultiple*12*'Monthly Income Statement'!BJ8+BJ9</f>
        <v>32677048.017617349</v>
      </c>
    </row>
    <row r="30" spans="1:62" s="55" customFormat="1" x14ac:dyDescent="0.2">
      <c r="A30" s="55" t="s">
        <v>155</v>
      </c>
      <c r="C30" s="55">
        <f>'Monthly Income Statement'!C39</f>
        <v>1000000</v>
      </c>
      <c r="D30" s="55">
        <f>'Monthly Income Statement'!D39</f>
        <v>0</v>
      </c>
      <c r="E30" s="55">
        <f>'Monthly Income Statement'!E39</f>
        <v>0</v>
      </c>
      <c r="F30" s="55">
        <f>'Monthly Income Statement'!F39</f>
        <v>0</v>
      </c>
      <c r="G30" s="55">
        <f>'Monthly Income Statement'!G39</f>
        <v>0</v>
      </c>
      <c r="H30" s="55">
        <f>'Monthly Income Statement'!H39</f>
        <v>0</v>
      </c>
      <c r="I30" s="55">
        <f>'Monthly Income Statement'!I39</f>
        <v>0</v>
      </c>
      <c r="J30" s="55">
        <f>'Monthly Income Statement'!J39</f>
        <v>0</v>
      </c>
      <c r="K30" s="55">
        <f>'Monthly Income Statement'!K39</f>
        <v>0</v>
      </c>
      <c r="L30" s="55">
        <f>'Monthly Income Statement'!L39</f>
        <v>0</v>
      </c>
      <c r="M30" s="55">
        <f>'Monthly Income Statement'!M39</f>
        <v>0</v>
      </c>
      <c r="N30" s="55">
        <f>'Monthly Income Statement'!N39</f>
        <v>0</v>
      </c>
      <c r="O30" s="55">
        <f>'Monthly Income Statement'!O39</f>
        <v>2500000</v>
      </c>
      <c r="P30" s="55">
        <f>'Monthly Income Statement'!P39</f>
        <v>0</v>
      </c>
      <c r="Q30" s="55">
        <f>'Monthly Income Statement'!Q39</f>
        <v>0</v>
      </c>
      <c r="R30" s="55">
        <f>'Monthly Income Statement'!R39</f>
        <v>0</v>
      </c>
      <c r="S30" s="55">
        <f>'Monthly Income Statement'!S39</f>
        <v>0</v>
      </c>
      <c r="T30" s="55">
        <f>'Monthly Income Statement'!T39</f>
        <v>0</v>
      </c>
      <c r="U30" s="55">
        <f>'Monthly Income Statement'!U39</f>
        <v>0</v>
      </c>
      <c r="V30" s="55">
        <f>'Monthly Income Statement'!V39</f>
        <v>0</v>
      </c>
      <c r="W30" s="55">
        <f>'Monthly Income Statement'!W39</f>
        <v>0</v>
      </c>
      <c r="X30" s="55">
        <f>'Monthly Income Statement'!X39</f>
        <v>0</v>
      </c>
      <c r="Y30" s="55">
        <f>'Monthly Income Statement'!Y39</f>
        <v>0</v>
      </c>
      <c r="Z30" s="55">
        <f>'Monthly Income Statement'!Z39</f>
        <v>0</v>
      </c>
      <c r="AA30" s="55">
        <f>'Monthly Income Statement'!AA39</f>
        <v>0</v>
      </c>
      <c r="AB30" s="55">
        <f>'Monthly Income Statement'!AB39</f>
        <v>0</v>
      </c>
      <c r="AC30" s="55">
        <f>'Monthly Income Statement'!AC39</f>
        <v>0</v>
      </c>
      <c r="AD30" s="55">
        <f>'Monthly Income Statement'!AD39</f>
        <v>0</v>
      </c>
      <c r="AE30" s="55">
        <f>'Monthly Income Statement'!AE39</f>
        <v>0</v>
      </c>
      <c r="AF30" s="55">
        <f>'Monthly Income Statement'!AF39</f>
        <v>0</v>
      </c>
      <c r="AG30" s="55">
        <f>'Monthly Income Statement'!AG39</f>
        <v>0</v>
      </c>
      <c r="AH30" s="55">
        <f>'Monthly Income Statement'!AH39</f>
        <v>0</v>
      </c>
      <c r="AI30" s="55">
        <f>'Monthly Income Statement'!AI39</f>
        <v>0</v>
      </c>
      <c r="AJ30" s="55">
        <f>'Monthly Income Statement'!AJ39</f>
        <v>0</v>
      </c>
      <c r="AK30" s="55">
        <f>'Monthly Income Statement'!AK39</f>
        <v>0</v>
      </c>
      <c r="AL30" s="55">
        <f>'Monthly Income Statement'!AL39</f>
        <v>0</v>
      </c>
      <c r="AM30" s="55">
        <f>'Monthly Income Statement'!AM39</f>
        <v>0</v>
      </c>
      <c r="AN30" s="55">
        <f>'Monthly Income Statement'!AN39</f>
        <v>0</v>
      </c>
      <c r="AO30" s="55">
        <f>'Monthly Income Statement'!AO39</f>
        <v>0</v>
      </c>
      <c r="AP30" s="55">
        <f>'Monthly Income Statement'!AP39</f>
        <v>0</v>
      </c>
      <c r="AQ30" s="55">
        <f>'Monthly Income Statement'!AQ39</f>
        <v>0</v>
      </c>
      <c r="AR30" s="55">
        <f>'Monthly Income Statement'!AR39</f>
        <v>0</v>
      </c>
      <c r="AS30" s="55">
        <f>'Monthly Income Statement'!AS39</f>
        <v>0</v>
      </c>
      <c r="AT30" s="55">
        <f>'Monthly Income Statement'!AT39</f>
        <v>0</v>
      </c>
      <c r="AU30" s="55">
        <f>'Monthly Income Statement'!AU39</f>
        <v>0</v>
      </c>
      <c r="AV30" s="55">
        <f>'Monthly Income Statement'!AV39</f>
        <v>0</v>
      </c>
      <c r="AW30" s="55">
        <f>'Monthly Income Statement'!AW39</f>
        <v>0</v>
      </c>
      <c r="AX30" s="55">
        <f>'Monthly Income Statement'!AX39</f>
        <v>0</v>
      </c>
      <c r="AY30" s="55">
        <f>'Monthly Income Statement'!AY39</f>
        <v>0</v>
      </c>
      <c r="AZ30" s="55">
        <f>'Monthly Income Statement'!AZ39</f>
        <v>0</v>
      </c>
      <c r="BA30" s="55">
        <f>'Monthly Income Statement'!BA39</f>
        <v>0</v>
      </c>
      <c r="BB30" s="55">
        <f>'Monthly Income Statement'!BB39</f>
        <v>0</v>
      </c>
      <c r="BC30" s="55">
        <f>'Monthly Income Statement'!BC39</f>
        <v>0</v>
      </c>
      <c r="BD30" s="55">
        <f>'Monthly Income Statement'!BD39</f>
        <v>0</v>
      </c>
      <c r="BE30" s="55">
        <f>'Monthly Income Statement'!BE39</f>
        <v>0</v>
      </c>
      <c r="BF30" s="55">
        <f>'Monthly Income Statement'!BF39</f>
        <v>0</v>
      </c>
      <c r="BG30" s="55">
        <f>'Monthly Income Statement'!BG39</f>
        <v>0</v>
      </c>
      <c r="BH30" s="55">
        <f>'Monthly Income Statement'!BH39</f>
        <v>0</v>
      </c>
      <c r="BI30" s="55">
        <f>'Monthly Income Statement'!BI39</f>
        <v>0</v>
      </c>
      <c r="BJ30" s="55">
        <f>'Monthly Income Statement'!BJ39</f>
        <v>0</v>
      </c>
    </row>
    <row r="31" spans="1:62" s="57" customFormat="1" x14ac:dyDescent="0.2">
      <c r="A31" s="57" t="s">
        <v>157</v>
      </c>
      <c r="C31" s="57">
        <f>C30/(C29+C30)</f>
        <v>0.25</v>
      </c>
      <c r="D31" s="57">
        <f t="shared" ref="D31:O31" si="171">D30/(D29+D30)</f>
        <v>0</v>
      </c>
      <c r="E31" s="57">
        <f t="shared" si="171"/>
        <v>0</v>
      </c>
      <c r="F31" s="57">
        <f t="shared" si="171"/>
        <v>0</v>
      </c>
      <c r="G31" s="57">
        <f t="shared" si="171"/>
        <v>0</v>
      </c>
      <c r="H31" s="57">
        <f t="shared" si="171"/>
        <v>0</v>
      </c>
      <c r="I31" s="57">
        <f t="shared" si="171"/>
        <v>0</v>
      </c>
      <c r="J31" s="57">
        <f t="shared" si="171"/>
        <v>0</v>
      </c>
      <c r="K31" s="57">
        <f t="shared" si="171"/>
        <v>0</v>
      </c>
      <c r="L31" s="57">
        <f t="shared" si="171"/>
        <v>0</v>
      </c>
      <c r="M31" s="57">
        <f t="shared" si="171"/>
        <v>0</v>
      </c>
      <c r="N31" s="57">
        <f t="shared" si="171"/>
        <v>0</v>
      </c>
      <c r="O31" s="58">
        <f t="shared" si="171"/>
        <v>0.28536484465978496</v>
      </c>
      <c r="P31" s="58">
        <f t="shared" ref="P31" si="172">P30/(P29+P30)</f>
        <v>0</v>
      </c>
      <c r="Q31" s="58">
        <f t="shared" ref="Q31" si="173">Q30/(Q29+Q30)</f>
        <v>0</v>
      </c>
      <c r="R31" s="58">
        <f t="shared" ref="R31" si="174">R30/(R29+R30)</f>
        <v>0</v>
      </c>
      <c r="S31" s="58">
        <f t="shared" ref="S31" si="175">S30/(S29+S30)</f>
        <v>0</v>
      </c>
      <c r="T31" s="58">
        <f t="shared" ref="T31" si="176">T30/(T29+T30)</f>
        <v>0</v>
      </c>
      <c r="U31" s="58">
        <f t="shared" ref="U31" si="177">U30/(U29+U30)</f>
        <v>0</v>
      </c>
      <c r="V31" s="58">
        <f t="shared" ref="V31" si="178">V30/(V29+V30)</f>
        <v>0</v>
      </c>
      <c r="W31" s="58">
        <f t="shared" ref="W31" si="179">W30/(W29+W30)</f>
        <v>0</v>
      </c>
      <c r="X31" s="58">
        <f t="shared" ref="X31" si="180">X30/(X29+X30)</f>
        <v>0</v>
      </c>
      <c r="Y31" s="58">
        <f t="shared" ref="Y31" si="181">Y30/(Y29+Y30)</f>
        <v>0</v>
      </c>
      <c r="Z31" s="58">
        <f t="shared" ref="Z31" si="182">Z30/(Z29+Z30)</f>
        <v>0</v>
      </c>
      <c r="AA31" s="58">
        <f t="shared" ref="AA31" si="183">AA30/(AA29+AA30)</f>
        <v>0</v>
      </c>
      <c r="AB31" s="58">
        <f t="shared" ref="AB31" si="184">AB30/(AB29+AB30)</f>
        <v>0</v>
      </c>
      <c r="AC31" s="58">
        <f t="shared" ref="AC31" si="185">AC30/(AC29+AC30)</f>
        <v>0</v>
      </c>
      <c r="AD31" s="58">
        <f t="shared" ref="AD31" si="186">AD30/(AD29+AD30)</f>
        <v>0</v>
      </c>
      <c r="AE31" s="58">
        <f t="shared" ref="AE31" si="187">AE30/(AE29+AE30)</f>
        <v>0</v>
      </c>
      <c r="AF31" s="58">
        <f t="shared" ref="AF31" si="188">AF30/(AF29+AF30)</f>
        <v>0</v>
      </c>
      <c r="AG31" s="58">
        <f t="shared" ref="AG31" si="189">AG30/(AG29+AG30)</f>
        <v>0</v>
      </c>
      <c r="AH31" s="58">
        <f t="shared" ref="AH31" si="190">AH30/(AH29+AH30)</f>
        <v>0</v>
      </c>
      <c r="AI31" s="58">
        <f t="shared" ref="AI31" si="191">AI30/(AI29+AI30)</f>
        <v>0</v>
      </c>
      <c r="AJ31" s="58">
        <f t="shared" ref="AJ31" si="192">AJ30/(AJ29+AJ30)</f>
        <v>0</v>
      </c>
      <c r="AK31" s="58">
        <f t="shared" ref="AK31" si="193">AK30/(AK29+AK30)</f>
        <v>0</v>
      </c>
      <c r="AL31" s="58">
        <f t="shared" ref="AL31" si="194">AL30/(AL29+AL30)</f>
        <v>0</v>
      </c>
      <c r="AM31" s="58">
        <f t="shared" ref="AM31" si="195">AM30/(AM29+AM30)</f>
        <v>0</v>
      </c>
      <c r="AN31" s="58">
        <f t="shared" ref="AN31" si="196">AN30/(AN29+AN30)</f>
        <v>0</v>
      </c>
      <c r="AO31" s="58">
        <f t="shared" ref="AO31" si="197">AO30/(AO29+AO30)</f>
        <v>0</v>
      </c>
      <c r="AP31" s="58">
        <f t="shared" ref="AP31" si="198">AP30/(AP29+AP30)</f>
        <v>0</v>
      </c>
      <c r="AQ31" s="58">
        <f t="shared" ref="AQ31" si="199">AQ30/(AQ29+AQ30)</f>
        <v>0</v>
      </c>
      <c r="AR31" s="58">
        <f t="shared" ref="AR31" si="200">AR30/(AR29+AR30)</f>
        <v>0</v>
      </c>
      <c r="AS31" s="58">
        <f t="shared" ref="AS31" si="201">AS30/(AS29+AS30)</f>
        <v>0</v>
      </c>
      <c r="AT31" s="58">
        <f t="shared" ref="AT31" si="202">AT30/(AT29+AT30)</f>
        <v>0</v>
      </c>
      <c r="AU31" s="58">
        <f t="shared" ref="AU31" si="203">AU30/(AU29+AU30)</f>
        <v>0</v>
      </c>
      <c r="AV31" s="58">
        <f t="shared" ref="AV31" si="204">AV30/(AV29+AV30)</f>
        <v>0</v>
      </c>
      <c r="AW31" s="58">
        <f t="shared" ref="AW31" si="205">AW30/(AW29+AW30)</f>
        <v>0</v>
      </c>
      <c r="AX31" s="58">
        <f t="shared" ref="AX31" si="206">AX30/(AX29+AX30)</f>
        <v>0</v>
      </c>
      <c r="AY31" s="58">
        <f t="shared" ref="AY31" si="207">AY30/(AY29+AY30)</f>
        <v>0</v>
      </c>
      <c r="AZ31" s="58">
        <f t="shared" ref="AZ31" si="208">AZ30/(AZ29+AZ30)</f>
        <v>0</v>
      </c>
      <c r="BA31" s="58">
        <f t="shared" ref="BA31" si="209">BA30/(BA29+BA30)</f>
        <v>0</v>
      </c>
      <c r="BB31" s="58">
        <f t="shared" ref="BB31" si="210">BB30/(BB29+BB30)</f>
        <v>0</v>
      </c>
      <c r="BC31" s="58">
        <f t="shared" ref="BC31" si="211">BC30/(BC29+BC30)</f>
        <v>0</v>
      </c>
      <c r="BD31" s="58">
        <f t="shared" ref="BD31" si="212">BD30/(BD29+BD30)</f>
        <v>0</v>
      </c>
      <c r="BE31" s="58">
        <f t="shared" ref="BE31" si="213">BE30/(BE29+BE30)</f>
        <v>0</v>
      </c>
      <c r="BF31" s="58">
        <f t="shared" ref="BF31" si="214">BF30/(BF29+BF30)</f>
        <v>0</v>
      </c>
      <c r="BG31" s="58">
        <f t="shared" ref="BG31" si="215">BG30/(BG29+BG30)</f>
        <v>0</v>
      </c>
      <c r="BH31" s="58">
        <f t="shared" ref="BH31" si="216">BH30/(BH29+BH30)</f>
        <v>0</v>
      </c>
      <c r="BI31" s="58">
        <f t="shared" ref="BI31" si="217">BI30/(BI29+BI30)</f>
        <v>0</v>
      </c>
      <c r="BJ31" s="58">
        <f t="shared" ref="BJ31" si="218">BJ30/(BJ29+BJ30)</f>
        <v>0</v>
      </c>
    </row>
    <row r="32" spans="1:62" s="57" customFormat="1" x14ac:dyDescent="0.2">
      <c r="A32" s="57" t="s">
        <v>158</v>
      </c>
      <c r="C32" s="57">
        <f t="shared" ref="C32:AH32" si="219">IF(C31&gt;0.01,OptionPoolPercentage,0)</f>
        <v>0.1</v>
      </c>
      <c r="D32" s="57">
        <f t="shared" si="219"/>
        <v>0</v>
      </c>
      <c r="E32" s="57">
        <f t="shared" si="219"/>
        <v>0</v>
      </c>
      <c r="F32" s="57">
        <f t="shared" si="219"/>
        <v>0</v>
      </c>
      <c r="G32" s="57">
        <f t="shared" si="219"/>
        <v>0</v>
      </c>
      <c r="H32" s="57">
        <f t="shared" si="219"/>
        <v>0</v>
      </c>
      <c r="I32" s="57">
        <f t="shared" si="219"/>
        <v>0</v>
      </c>
      <c r="J32" s="57">
        <f t="shared" si="219"/>
        <v>0</v>
      </c>
      <c r="K32" s="57">
        <f t="shared" si="219"/>
        <v>0</v>
      </c>
      <c r="L32" s="57">
        <f t="shared" si="219"/>
        <v>0</v>
      </c>
      <c r="M32" s="57">
        <f t="shared" si="219"/>
        <v>0</v>
      </c>
      <c r="N32" s="57">
        <f t="shared" si="219"/>
        <v>0</v>
      </c>
      <c r="O32" s="57">
        <f t="shared" si="219"/>
        <v>0.1</v>
      </c>
      <c r="P32" s="57">
        <f t="shared" si="219"/>
        <v>0</v>
      </c>
      <c r="Q32" s="57">
        <f t="shared" si="219"/>
        <v>0</v>
      </c>
      <c r="R32" s="57">
        <f t="shared" si="219"/>
        <v>0</v>
      </c>
      <c r="S32" s="57">
        <f t="shared" si="219"/>
        <v>0</v>
      </c>
      <c r="T32" s="57">
        <f t="shared" si="219"/>
        <v>0</v>
      </c>
      <c r="U32" s="57">
        <f t="shared" si="219"/>
        <v>0</v>
      </c>
      <c r="V32" s="57">
        <f t="shared" si="219"/>
        <v>0</v>
      </c>
      <c r="W32" s="57">
        <f t="shared" si="219"/>
        <v>0</v>
      </c>
      <c r="X32" s="57">
        <f t="shared" si="219"/>
        <v>0</v>
      </c>
      <c r="Y32" s="57">
        <f t="shared" si="219"/>
        <v>0</v>
      </c>
      <c r="Z32" s="57">
        <f t="shared" si="219"/>
        <v>0</v>
      </c>
      <c r="AA32" s="57">
        <f t="shared" si="219"/>
        <v>0</v>
      </c>
      <c r="AB32" s="57">
        <f t="shared" si="219"/>
        <v>0</v>
      </c>
      <c r="AC32" s="57">
        <f t="shared" si="219"/>
        <v>0</v>
      </c>
      <c r="AD32" s="57">
        <f t="shared" si="219"/>
        <v>0</v>
      </c>
      <c r="AE32" s="57">
        <f t="shared" si="219"/>
        <v>0</v>
      </c>
      <c r="AF32" s="57">
        <f t="shared" si="219"/>
        <v>0</v>
      </c>
      <c r="AG32" s="57">
        <f t="shared" si="219"/>
        <v>0</v>
      </c>
      <c r="AH32" s="57">
        <f t="shared" si="219"/>
        <v>0</v>
      </c>
      <c r="AI32" s="57">
        <f t="shared" ref="AI32:BJ32" si="220">IF(AI31&gt;0.01,OptionPoolPercentage,0)</f>
        <v>0</v>
      </c>
      <c r="AJ32" s="57">
        <f t="shared" si="220"/>
        <v>0</v>
      </c>
      <c r="AK32" s="57">
        <f t="shared" si="220"/>
        <v>0</v>
      </c>
      <c r="AL32" s="57">
        <f t="shared" si="220"/>
        <v>0</v>
      </c>
      <c r="AM32" s="57">
        <f t="shared" si="220"/>
        <v>0</v>
      </c>
      <c r="AN32" s="57">
        <f t="shared" si="220"/>
        <v>0</v>
      </c>
      <c r="AO32" s="57">
        <f t="shared" si="220"/>
        <v>0</v>
      </c>
      <c r="AP32" s="57">
        <f t="shared" si="220"/>
        <v>0</v>
      </c>
      <c r="AQ32" s="57">
        <f t="shared" si="220"/>
        <v>0</v>
      </c>
      <c r="AR32" s="57">
        <f t="shared" si="220"/>
        <v>0</v>
      </c>
      <c r="AS32" s="57">
        <f t="shared" si="220"/>
        <v>0</v>
      </c>
      <c r="AT32" s="57">
        <f t="shared" si="220"/>
        <v>0</v>
      </c>
      <c r="AU32" s="57">
        <f t="shared" si="220"/>
        <v>0</v>
      </c>
      <c r="AV32" s="57">
        <f t="shared" si="220"/>
        <v>0</v>
      </c>
      <c r="AW32" s="57">
        <f t="shared" si="220"/>
        <v>0</v>
      </c>
      <c r="AX32" s="57">
        <f t="shared" si="220"/>
        <v>0</v>
      </c>
      <c r="AY32" s="57">
        <f t="shared" si="220"/>
        <v>0</v>
      </c>
      <c r="AZ32" s="57">
        <f t="shared" si="220"/>
        <v>0</v>
      </c>
      <c r="BA32" s="57">
        <f t="shared" si="220"/>
        <v>0</v>
      </c>
      <c r="BB32" s="57">
        <f t="shared" si="220"/>
        <v>0</v>
      </c>
      <c r="BC32" s="57">
        <f t="shared" si="220"/>
        <v>0</v>
      </c>
      <c r="BD32" s="57">
        <f t="shared" si="220"/>
        <v>0</v>
      </c>
      <c r="BE32" s="57">
        <f t="shared" si="220"/>
        <v>0</v>
      </c>
      <c r="BF32" s="57">
        <f t="shared" si="220"/>
        <v>0</v>
      </c>
      <c r="BG32" s="57">
        <f t="shared" si="220"/>
        <v>0</v>
      </c>
      <c r="BH32" s="57">
        <f t="shared" si="220"/>
        <v>0</v>
      </c>
      <c r="BI32" s="57">
        <f t="shared" si="220"/>
        <v>0</v>
      </c>
      <c r="BJ32" s="57">
        <f t="shared" si="220"/>
        <v>0</v>
      </c>
    </row>
    <row r="33" spans="1:62" s="57" customFormat="1" x14ac:dyDescent="0.2">
      <c r="A33" s="57" t="s">
        <v>159</v>
      </c>
      <c r="C33" s="57">
        <f>1-(C31+C32)</f>
        <v>0.65</v>
      </c>
      <c r="D33" s="57">
        <f>1-(D31+D32)</f>
        <v>1</v>
      </c>
      <c r="E33" s="57">
        <f t="shared" ref="E33:O33" si="221">1-(E31+E32)</f>
        <v>1</v>
      </c>
      <c r="F33" s="57">
        <f t="shared" si="221"/>
        <v>1</v>
      </c>
      <c r="G33" s="57">
        <f t="shared" si="221"/>
        <v>1</v>
      </c>
      <c r="H33" s="57">
        <f t="shared" si="221"/>
        <v>1</v>
      </c>
      <c r="I33" s="57">
        <f t="shared" si="221"/>
        <v>1</v>
      </c>
      <c r="J33" s="57">
        <f t="shared" si="221"/>
        <v>1</v>
      </c>
      <c r="K33" s="57">
        <f t="shared" si="221"/>
        <v>1</v>
      </c>
      <c r="L33" s="57">
        <f t="shared" si="221"/>
        <v>1</v>
      </c>
      <c r="M33" s="57">
        <f t="shared" si="221"/>
        <v>1</v>
      </c>
      <c r="N33" s="57">
        <f t="shared" si="221"/>
        <v>1</v>
      </c>
      <c r="O33" s="57">
        <f t="shared" si="221"/>
        <v>0.61463515534021507</v>
      </c>
      <c r="P33" s="57">
        <f t="shared" ref="P33" si="222">1-(P31+P32)</f>
        <v>1</v>
      </c>
      <c r="Q33" s="57">
        <f t="shared" ref="Q33" si="223">1-(Q31+Q32)</f>
        <v>1</v>
      </c>
      <c r="R33" s="57">
        <f t="shared" ref="R33" si="224">1-(R31+R32)</f>
        <v>1</v>
      </c>
      <c r="S33" s="57">
        <f t="shared" ref="S33" si="225">1-(S31+S32)</f>
        <v>1</v>
      </c>
      <c r="T33" s="57">
        <f t="shared" ref="T33" si="226">1-(T31+T32)</f>
        <v>1</v>
      </c>
      <c r="U33" s="57">
        <f t="shared" ref="U33" si="227">1-(U31+U32)</f>
        <v>1</v>
      </c>
      <c r="V33" s="57">
        <f t="shared" ref="V33" si="228">1-(V31+V32)</f>
        <v>1</v>
      </c>
      <c r="W33" s="57">
        <f t="shared" ref="W33" si="229">1-(W31+W32)</f>
        <v>1</v>
      </c>
      <c r="X33" s="57">
        <f t="shared" ref="X33" si="230">1-(X31+X32)</f>
        <v>1</v>
      </c>
      <c r="Y33" s="57">
        <f t="shared" ref="Y33" si="231">1-(Y31+Y32)</f>
        <v>1</v>
      </c>
      <c r="Z33" s="57">
        <f t="shared" ref="Z33" si="232">1-(Z31+Z32)</f>
        <v>1</v>
      </c>
      <c r="AA33" s="57">
        <f t="shared" ref="AA33" si="233">1-(AA31+AA32)</f>
        <v>1</v>
      </c>
      <c r="AB33" s="57">
        <f t="shared" ref="AB33" si="234">1-(AB31+AB32)</f>
        <v>1</v>
      </c>
      <c r="AC33" s="57">
        <f t="shared" ref="AC33" si="235">1-(AC31+AC32)</f>
        <v>1</v>
      </c>
      <c r="AD33" s="57">
        <f t="shared" ref="AD33" si="236">1-(AD31+AD32)</f>
        <v>1</v>
      </c>
      <c r="AE33" s="57">
        <f t="shared" ref="AE33" si="237">1-(AE31+AE32)</f>
        <v>1</v>
      </c>
      <c r="AF33" s="57">
        <f t="shared" ref="AF33" si="238">1-(AF31+AF32)</f>
        <v>1</v>
      </c>
      <c r="AG33" s="57">
        <f t="shared" ref="AG33" si="239">1-(AG31+AG32)</f>
        <v>1</v>
      </c>
      <c r="AH33" s="57">
        <f t="shared" ref="AH33" si="240">1-(AH31+AH32)</f>
        <v>1</v>
      </c>
      <c r="AI33" s="57">
        <f t="shared" ref="AI33" si="241">1-(AI31+AI32)</f>
        <v>1</v>
      </c>
      <c r="AJ33" s="57">
        <f t="shared" ref="AJ33" si="242">1-(AJ31+AJ32)</f>
        <v>1</v>
      </c>
      <c r="AK33" s="57">
        <f t="shared" ref="AK33" si="243">1-(AK31+AK32)</f>
        <v>1</v>
      </c>
      <c r="AL33" s="57">
        <f t="shared" ref="AL33" si="244">1-(AL31+AL32)</f>
        <v>1</v>
      </c>
      <c r="AM33" s="57">
        <f t="shared" ref="AM33" si="245">1-(AM31+AM32)</f>
        <v>1</v>
      </c>
      <c r="AN33" s="57">
        <f t="shared" ref="AN33" si="246">1-(AN31+AN32)</f>
        <v>1</v>
      </c>
      <c r="AO33" s="57">
        <f t="shared" ref="AO33" si="247">1-(AO31+AO32)</f>
        <v>1</v>
      </c>
      <c r="AP33" s="57">
        <f t="shared" ref="AP33" si="248">1-(AP31+AP32)</f>
        <v>1</v>
      </c>
      <c r="AQ33" s="57">
        <f t="shared" ref="AQ33" si="249">1-(AQ31+AQ32)</f>
        <v>1</v>
      </c>
      <c r="AR33" s="57">
        <f t="shared" ref="AR33" si="250">1-(AR31+AR32)</f>
        <v>1</v>
      </c>
      <c r="AS33" s="57">
        <f t="shared" ref="AS33" si="251">1-(AS31+AS32)</f>
        <v>1</v>
      </c>
      <c r="AT33" s="57">
        <f t="shared" ref="AT33" si="252">1-(AT31+AT32)</f>
        <v>1</v>
      </c>
      <c r="AU33" s="57">
        <f t="shared" ref="AU33" si="253">1-(AU31+AU32)</f>
        <v>1</v>
      </c>
      <c r="AV33" s="57">
        <f t="shared" ref="AV33" si="254">1-(AV31+AV32)</f>
        <v>1</v>
      </c>
      <c r="AW33" s="57">
        <f t="shared" ref="AW33" si="255">1-(AW31+AW32)</f>
        <v>1</v>
      </c>
      <c r="AX33" s="57">
        <f t="shared" ref="AX33" si="256">1-(AX31+AX32)</f>
        <v>1</v>
      </c>
      <c r="AY33" s="57">
        <f t="shared" ref="AY33" si="257">1-(AY31+AY32)</f>
        <v>1</v>
      </c>
      <c r="AZ33" s="57">
        <f t="shared" ref="AZ33" si="258">1-(AZ31+AZ32)</f>
        <v>1</v>
      </c>
      <c r="BA33" s="57">
        <f t="shared" ref="BA33" si="259">1-(BA31+BA32)</f>
        <v>1</v>
      </c>
      <c r="BB33" s="57">
        <f t="shared" ref="BB33" si="260">1-(BB31+BB32)</f>
        <v>1</v>
      </c>
      <c r="BC33" s="57">
        <f t="shared" ref="BC33" si="261">1-(BC31+BC32)</f>
        <v>1</v>
      </c>
      <c r="BD33" s="57">
        <f t="shared" ref="BD33" si="262">1-(BD31+BD32)</f>
        <v>1</v>
      </c>
      <c r="BE33" s="57">
        <f t="shared" ref="BE33" si="263">1-(BE31+BE32)</f>
        <v>1</v>
      </c>
      <c r="BF33" s="57">
        <f t="shared" ref="BF33" si="264">1-(BF31+BF32)</f>
        <v>1</v>
      </c>
      <c r="BG33" s="57">
        <f t="shared" ref="BG33" si="265">1-(BG31+BG32)</f>
        <v>1</v>
      </c>
      <c r="BH33" s="57">
        <f t="shared" ref="BH33" si="266">1-(BH31+BH32)</f>
        <v>1</v>
      </c>
      <c r="BI33" s="57">
        <f t="shared" ref="BI33" si="267">1-(BI31+BI32)</f>
        <v>1</v>
      </c>
      <c r="BJ33" s="57">
        <f t="shared" ref="BJ33" si="268">1-(BJ31+BJ32)</f>
        <v>1</v>
      </c>
    </row>
    <row r="34" spans="1:62" s="57" customFormat="1" x14ac:dyDescent="0.2">
      <c r="A34" s="57" t="s">
        <v>160</v>
      </c>
      <c r="C34" s="57">
        <f>C33</f>
        <v>0.65</v>
      </c>
      <c r="D34" s="59">
        <f>C34*D33</f>
        <v>0.65</v>
      </c>
      <c r="E34" s="59">
        <f t="shared" ref="E34:O34" si="269">D34*E33</f>
        <v>0.65</v>
      </c>
      <c r="F34" s="59">
        <f t="shared" si="269"/>
        <v>0.65</v>
      </c>
      <c r="G34" s="59">
        <f t="shared" si="269"/>
        <v>0.65</v>
      </c>
      <c r="H34" s="59">
        <f t="shared" si="269"/>
        <v>0.65</v>
      </c>
      <c r="I34" s="59">
        <f t="shared" si="269"/>
        <v>0.65</v>
      </c>
      <c r="J34" s="59">
        <f t="shared" si="269"/>
        <v>0.65</v>
      </c>
      <c r="K34" s="59">
        <f t="shared" si="269"/>
        <v>0.65</v>
      </c>
      <c r="L34" s="59">
        <f t="shared" si="269"/>
        <v>0.65</v>
      </c>
      <c r="M34" s="59">
        <f t="shared" si="269"/>
        <v>0.65</v>
      </c>
      <c r="N34" s="59">
        <f t="shared" si="269"/>
        <v>0.65</v>
      </c>
      <c r="O34" s="59">
        <f t="shared" si="269"/>
        <v>0.39951285097113981</v>
      </c>
      <c r="P34" s="59">
        <f t="shared" ref="P34" si="270">O34*P33</f>
        <v>0.39951285097113981</v>
      </c>
      <c r="Q34" s="59">
        <f t="shared" ref="Q34" si="271">P34*Q33</f>
        <v>0.39951285097113981</v>
      </c>
      <c r="R34" s="59">
        <f t="shared" ref="R34" si="272">Q34*R33</f>
        <v>0.39951285097113981</v>
      </c>
      <c r="S34" s="59">
        <f t="shared" ref="S34" si="273">R34*S33</f>
        <v>0.39951285097113981</v>
      </c>
      <c r="T34" s="59">
        <f t="shared" ref="T34" si="274">S34*T33</f>
        <v>0.39951285097113981</v>
      </c>
      <c r="U34" s="59">
        <f t="shared" ref="U34" si="275">T34*U33</f>
        <v>0.39951285097113981</v>
      </c>
      <c r="V34" s="59">
        <f t="shared" ref="V34" si="276">U34*V33</f>
        <v>0.39951285097113981</v>
      </c>
      <c r="W34" s="59">
        <f t="shared" ref="W34" si="277">V34*W33</f>
        <v>0.39951285097113981</v>
      </c>
      <c r="X34" s="59">
        <f t="shared" ref="X34" si="278">W34*X33</f>
        <v>0.39951285097113981</v>
      </c>
      <c r="Y34" s="59">
        <f t="shared" ref="Y34" si="279">X34*Y33</f>
        <v>0.39951285097113981</v>
      </c>
      <c r="Z34" s="59">
        <f t="shared" ref="Z34" si="280">Y34*Z33</f>
        <v>0.39951285097113981</v>
      </c>
      <c r="AA34" s="59">
        <f t="shared" ref="AA34" si="281">Z34*AA33</f>
        <v>0.39951285097113981</v>
      </c>
      <c r="AB34" s="59">
        <f t="shared" ref="AB34" si="282">AA34*AB33</f>
        <v>0.39951285097113981</v>
      </c>
      <c r="AC34" s="59">
        <f t="shared" ref="AC34" si="283">AB34*AC33</f>
        <v>0.39951285097113981</v>
      </c>
      <c r="AD34" s="59">
        <f t="shared" ref="AD34" si="284">AC34*AD33</f>
        <v>0.39951285097113981</v>
      </c>
      <c r="AE34" s="59">
        <f t="shared" ref="AE34" si="285">AD34*AE33</f>
        <v>0.39951285097113981</v>
      </c>
      <c r="AF34" s="59">
        <f t="shared" ref="AF34" si="286">AE34*AF33</f>
        <v>0.39951285097113981</v>
      </c>
      <c r="AG34" s="59">
        <f t="shared" ref="AG34" si="287">AF34*AG33</f>
        <v>0.39951285097113981</v>
      </c>
      <c r="AH34" s="59">
        <f t="shared" ref="AH34" si="288">AG34*AH33</f>
        <v>0.39951285097113981</v>
      </c>
      <c r="AI34" s="59">
        <f t="shared" ref="AI34" si="289">AH34*AI33</f>
        <v>0.39951285097113981</v>
      </c>
      <c r="AJ34" s="59">
        <f t="shared" ref="AJ34" si="290">AI34*AJ33</f>
        <v>0.39951285097113981</v>
      </c>
      <c r="AK34" s="59">
        <f t="shared" ref="AK34" si="291">AJ34*AK33</f>
        <v>0.39951285097113981</v>
      </c>
      <c r="AL34" s="59">
        <f t="shared" ref="AL34" si="292">AK34*AL33</f>
        <v>0.39951285097113981</v>
      </c>
      <c r="AM34" s="59">
        <f t="shared" ref="AM34" si="293">AL34*AM33</f>
        <v>0.39951285097113981</v>
      </c>
      <c r="AN34" s="59">
        <f t="shared" ref="AN34" si="294">AM34*AN33</f>
        <v>0.39951285097113981</v>
      </c>
      <c r="AO34" s="59">
        <f t="shared" ref="AO34" si="295">AN34*AO33</f>
        <v>0.39951285097113981</v>
      </c>
      <c r="AP34" s="59">
        <f t="shared" ref="AP34" si="296">AO34*AP33</f>
        <v>0.39951285097113981</v>
      </c>
      <c r="AQ34" s="59">
        <f t="shared" ref="AQ34" si="297">AP34*AQ33</f>
        <v>0.39951285097113981</v>
      </c>
      <c r="AR34" s="59">
        <f t="shared" ref="AR34" si="298">AQ34*AR33</f>
        <v>0.39951285097113981</v>
      </c>
      <c r="AS34" s="59">
        <f t="shared" ref="AS34" si="299">AR34*AS33</f>
        <v>0.39951285097113981</v>
      </c>
      <c r="AT34" s="59">
        <f t="shared" ref="AT34" si="300">AS34*AT33</f>
        <v>0.39951285097113981</v>
      </c>
      <c r="AU34" s="59">
        <f t="shared" ref="AU34" si="301">AT34*AU33</f>
        <v>0.39951285097113981</v>
      </c>
      <c r="AV34" s="59">
        <f t="shared" ref="AV34" si="302">AU34*AV33</f>
        <v>0.39951285097113981</v>
      </c>
      <c r="AW34" s="59">
        <f t="shared" ref="AW34" si="303">AV34*AW33</f>
        <v>0.39951285097113981</v>
      </c>
      <c r="AX34" s="59">
        <f t="shared" ref="AX34" si="304">AW34*AX33</f>
        <v>0.39951285097113981</v>
      </c>
      <c r="AY34" s="59">
        <f t="shared" ref="AY34" si="305">AX34*AY33</f>
        <v>0.39951285097113981</v>
      </c>
      <c r="AZ34" s="59">
        <f t="shared" ref="AZ34" si="306">AY34*AZ33</f>
        <v>0.39951285097113981</v>
      </c>
      <c r="BA34" s="59">
        <f t="shared" ref="BA34" si="307">AZ34*BA33</f>
        <v>0.39951285097113981</v>
      </c>
      <c r="BB34" s="59">
        <f t="shared" ref="BB34" si="308">BA34*BB33</f>
        <v>0.39951285097113981</v>
      </c>
      <c r="BC34" s="59">
        <f t="shared" ref="BC34" si="309">BB34*BC33</f>
        <v>0.39951285097113981</v>
      </c>
      <c r="BD34" s="59">
        <f t="shared" ref="BD34" si="310">BC34*BD33</f>
        <v>0.39951285097113981</v>
      </c>
      <c r="BE34" s="59">
        <f t="shared" ref="BE34" si="311">BD34*BE33</f>
        <v>0.39951285097113981</v>
      </c>
      <c r="BF34" s="59">
        <f t="shared" ref="BF34" si="312">BE34*BF33</f>
        <v>0.39951285097113981</v>
      </c>
      <c r="BG34" s="59">
        <f t="shared" ref="BG34" si="313">BF34*BG33</f>
        <v>0.39951285097113981</v>
      </c>
      <c r="BH34" s="59">
        <f t="shared" ref="BH34" si="314">BG34*BH33</f>
        <v>0.39951285097113981</v>
      </c>
      <c r="BI34" s="59">
        <f t="shared" ref="BI34" si="315">BH34*BI33</f>
        <v>0.39951285097113981</v>
      </c>
      <c r="BJ34" s="59">
        <f t="shared" ref="BJ34" si="316">BI34*BJ33</f>
        <v>0.39951285097113981</v>
      </c>
    </row>
  </sheetData>
  <pageMargins left="0.75" right="0.75" top="1" bottom="1" header="0.5" footer="0.5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J3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5" sqref="F15"/>
    </sheetView>
    <sheetView zoomScale="210" zoomScaleNormal="210" zoomScalePageLayoutView="180" workbookViewId="1">
      <pane xSplit="2" ySplit="2" topLeftCell="C3" activePane="bottomRight" state="frozen"/>
      <selection activeCell="C56" sqref="C56"/>
      <selection pane="topRight" activeCell="C56" sqref="C56"/>
      <selection pane="bottomLeft" activeCell="C56" sqref="C56"/>
      <selection pane="bottomRight" activeCell="H2" sqref="H2"/>
    </sheetView>
  </sheetViews>
  <sheetFormatPr baseColWidth="10" defaultRowHeight="16" x14ac:dyDescent="0.2"/>
  <cols>
    <col min="1" max="1" width="3.5" customWidth="1"/>
    <col min="2" max="2" width="38.83203125" bestFit="1" customWidth="1"/>
    <col min="3" max="10" width="11.5" bestFit="1" customWidth="1"/>
    <col min="11" max="14" width="10.6640625" bestFit="1" customWidth="1"/>
    <col min="15" max="37" width="11.5" bestFit="1" customWidth="1"/>
    <col min="38" max="62" width="10.6640625" bestFit="1" customWidth="1"/>
  </cols>
  <sheetData>
    <row r="1" spans="1:62" s="1" customFormat="1" x14ac:dyDescent="0.2">
      <c r="A1" s="1" t="s">
        <v>97</v>
      </c>
      <c r="C1" s="1" t="s">
        <v>0</v>
      </c>
    </row>
    <row r="2" spans="1:62" s="2" customFormat="1" x14ac:dyDescent="0.2">
      <c r="C2" s="60">
        <f>'Monthly Income Statement'!C2</f>
        <v>44211</v>
      </c>
      <c r="D2" s="60">
        <f>'Monthly Income Statement'!D2</f>
        <v>44241</v>
      </c>
      <c r="E2" s="60">
        <f>'Monthly Income Statement'!E2</f>
        <v>44271</v>
      </c>
      <c r="F2" s="60">
        <f>'Monthly Income Statement'!F2</f>
        <v>44301</v>
      </c>
      <c r="G2" s="60">
        <f>'Monthly Income Statement'!G2</f>
        <v>44331</v>
      </c>
      <c r="H2" s="60">
        <f>'Monthly Income Statement'!H2</f>
        <v>44361</v>
      </c>
      <c r="I2" s="60">
        <f>'Monthly Income Statement'!I2</f>
        <v>44391</v>
      </c>
      <c r="J2" s="60">
        <f>'Monthly Income Statement'!J2</f>
        <v>44421</v>
      </c>
      <c r="K2" s="60">
        <f>'Monthly Income Statement'!K2</f>
        <v>44451</v>
      </c>
      <c r="L2" s="60">
        <f>'Monthly Income Statement'!L2</f>
        <v>44481</v>
      </c>
      <c r="M2" s="60">
        <f>'Monthly Income Statement'!M2</f>
        <v>44511</v>
      </c>
      <c r="N2" s="60">
        <f>'Monthly Income Statement'!N2</f>
        <v>44541</v>
      </c>
      <c r="O2" s="60">
        <f>'Monthly Income Statement'!O2</f>
        <v>44571</v>
      </c>
      <c r="P2" s="60">
        <f>'Monthly Income Statement'!P2</f>
        <v>44601</v>
      </c>
      <c r="Q2" s="60">
        <f>'Monthly Income Statement'!Q2</f>
        <v>44631</v>
      </c>
      <c r="R2" s="60">
        <f>'Monthly Income Statement'!R2</f>
        <v>44661</v>
      </c>
      <c r="S2" s="60">
        <f>'Monthly Income Statement'!S2</f>
        <v>44691</v>
      </c>
      <c r="T2" s="60">
        <f>'Monthly Income Statement'!T2</f>
        <v>44721</v>
      </c>
      <c r="U2" s="60">
        <f>'Monthly Income Statement'!U2</f>
        <v>44751</v>
      </c>
      <c r="V2" s="60">
        <f>'Monthly Income Statement'!V2</f>
        <v>44781</v>
      </c>
      <c r="W2" s="60">
        <f>'Monthly Income Statement'!W2</f>
        <v>44811</v>
      </c>
      <c r="X2" s="60">
        <f>'Monthly Income Statement'!X2</f>
        <v>44841</v>
      </c>
      <c r="Y2" s="60">
        <f>'Monthly Income Statement'!Y2</f>
        <v>44871</v>
      </c>
      <c r="Z2" s="60">
        <f>'Monthly Income Statement'!Z2</f>
        <v>44901</v>
      </c>
      <c r="AA2" s="60">
        <f>'Monthly Income Statement'!AA2</f>
        <v>44941</v>
      </c>
      <c r="AB2" s="60">
        <f>'Monthly Income Statement'!AB2</f>
        <v>44971</v>
      </c>
      <c r="AC2" s="60">
        <f>'Monthly Income Statement'!AC2</f>
        <v>45001</v>
      </c>
      <c r="AD2" s="60">
        <f>'Monthly Income Statement'!AD2</f>
        <v>45031</v>
      </c>
      <c r="AE2" s="60">
        <f>'Monthly Income Statement'!AE2</f>
        <v>45061</v>
      </c>
      <c r="AF2" s="60">
        <f>'Monthly Income Statement'!AF2</f>
        <v>45091</v>
      </c>
      <c r="AG2" s="60">
        <f>'Monthly Income Statement'!AG2</f>
        <v>45121</v>
      </c>
      <c r="AH2" s="60">
        <f>'Monthly Income Statement'!AH2</f>
        <v>45151</v>
      </c>
      <c r="AI2" s="60">
        <f>'Monthly Income Statement'!AI2</f>
        <v>45181</v>
      </c>
      <c r="AJ2" s="60">
        <f>'Monthly Income Statement'!AJ2</f>
        <v>45211</v>
      </c>
      <c r="AK2" s="60">
        <f>'Monthly Income Statement'!AK2</f>
        <v>45241</v>
      </c>
      <c r="AL2" s="60">
        <f>'Monthly Income Statement'!AL2</f>
        <v>45271</v>
      </c>
      <c r="AM2" s="60">
        <f>'Monthly Income Statement'!AM2</f>
        <v>45301</v>
      </c>
      <c r="AN2" s="60">
        <f>'Monthly Income Statement'!AN2</f>
        <v>45331</v>
      </c>
      <c r="AO2" s="60">
        <f>'Monthly Income Statement'!AO2</f>
        <v>45361</v>
      </c>
      <c r="AP2" s="60">
        <f>'Monthly Income Statement'!AP2</f>
        <v>45391</v>
      </c>
      <c r="AQ2" s="60">
        <f>'Monthly Income Statement'!AQ2</f>
        <v>45421</v>
      </c>
      <c r="AR2" s="60">
        <f>'Monthly Income Statement'!AR2</f>
        <v>45451</v>
      </c>
      <c r="AS2" s="60">
        <f>'Monthly Income Statement'!AS2</f>
        <v>45481</v>
      </c>
      <c r="AT2" s="60">
        <f>'Monthly Income Statement'!AT2</f>
        <v>45511</v>
      </c>
      <c r="AU2" s="60">
        <f>'Monthly Income Statement'!AU2</f>
        <v>45541</v>
      </c>
      <c r="AV2" s="60">
        <f>'Monthly Income Statement'!AV2</f>
        <v>45571</v>
      </c>
      <c r="AW2" s="60">
        <f>'Monthly Income Statement'!AW2</f>
        <v>45601</v>
      </c>
      <c r="AX2" s="60">
        <f>'Monthly Income Statement'!AX2</f>
        <v>45631</v>
      </c>
      <c r="AY2" s="60">
        <f>'Monthly Income Statement'!AY2</f>
        <v>45672</v>
      </c>
      <c r="AZ2" s="60">
        <f>'Monthly Income Statement'!AZ2</f>
        <v>45702</v>
      </c>
      <c r="BA2" s="60">
        <f>'Monthly Income Statement'!BA2</f>
        <v>45732</v>
      </c>
      <c r="BB2" s="60">
        <f>'Monthly Income Statement'!BB2</f>
        <v>45762</v>
      </c>
      <c r="BC2" s="60">
        <f>'Monthly Income Statement'!BC2</f>
        <v>45792</v>
      </c>
      <c r="BD2" s="60">
        <f>'Monthly Income Statement'!BD2</f>
        <v>45822</v>
      </c>
      <c r="BE2" s="60">
        <f>'Monthly Income Statement'!BE2</f>
        <v>45852</v>
      </c>
      <c r="BF2" s="60">
        <f>'Monthly Income Statement'!BF2</f>
        <v>45882</v>
      </c>
      <c r="BG2" s="60">
        <f>'Monthly Income Statement'!BG2</f>
        <v>45912</v>
      </c>
      <c r="BH2" s="60">
        <f>'Monthly Income Statement'!BH2</f>
        <v>45942</v>
      </c>
      <c r="BI2" s="60">
        <f>'Monthly Income Statement'!BI2</f>
        <v>45972</v>
      </c>
      <c r="BJ2" s="60">
        <f>'Monthly Income Statement'!BJ2</f>
        <v>46002</v>
      </c>
    </row>
    <row r="3" spans="1:62" x14ac:dyDescent="0.2">
      <c r="B3" t="s">
        <v>119</v>
      </c>
      <c r="C3" s="65">
        <v>0</v>
      </c>
      <c r="D3" s="66">
        <f t="shared" ref="D3:P3" si="0">C27</f>
        <v>967395.34207833337</v>
      </c>
      <c r="E3" s="66">
        <f t="shared" si="0"/>
        <v>928367.55163566675</v>
      </c>
      <c r="F3" s="66">
        <f t="shared" si="0"/>
        <v>883581.48974880006</v>
      </c>
      <c r="G3" s="66">
        <f t="shared" si="0"/>
        <v>802868.5053202667</v>
      </c>
      <c r="H3" s="14">
        <f t="shared" si="0"/>
        <v>699900.31405093335</v>
      </c>
      <c r="I3" s="14">
        <f t="shared" si="0"/>
        <v>622416.56216000952</v>
      </c>
      <c r="J3" s="14">
        <f t="shared" si="0"/>
        <v>541334.08593449055</v>
      </c>
      <c r="K3" s="14">
        <f t="shared" si="0"/>
        <v>461839.4080304227</v>
      </c>
      <c r="L3" s="14">
        <f t="shared" si="0"/>
        <v>383898.99852101807</v>
      </c>
      <c r="M3" s="14">
        <f t="shared" si="0"/>
        <v>307521.53473285504</v>
      </c>
      <c r="N3" s="14">
        <f t="shared" si="0"/>
        <v>232684.67141503427</v>
      </c>
      <c r="O3" s="14">
        <f t="shared" si="0"/>
        <v>159382.60161276936</v>
      </c>
      <c r="P3" s="14">
        <f t="shared" si="0"/>
        <v>2583127.515500918</v>
      </c>
      <c r="Q3" s="14">
        <f t="shared" ref="Q3:BJ3" si="1">P27</f>
        <v>2491482.0682445704</v>
      </c>
      <c r="R3" s="14">
        <f t="shared" si="1"/>
        <v>2411316.8279556818</v>
      </c>
      <c r="S3" s="14">
        <f t="shared" si="1"/>
        <v>2332647.997786175</v>
      </c>
      <c r="T3" s="14">
        <f t="shared" si="1"/>
        <v>2255444.7750661331</v>
      </c>
      <c r="U3" s="14">
        <f t="shared" si="1"/>
        <v>2179701.7425971497</v>
      </c>
      <c r="V3" s="14">
        <f t="shared" si="1"/>
        <v>2105385.0454893899</v>
      </c>
      <c r="W3" s="14">
        <f t="shared" si="1"/>
        <v>2032529.7958919292</v>
      </c>
      <c r="X3" s="14">
        <f t="shared" si="1"/>
        <v>1961141.1926228614</v>
      </c>
      <c r="Y3" s="14">
        <f t="shared" si="1"/>
        <v>1893185.7975410144</v>
      </c>
      <c r="Z3" s="14">
        <f t="shared" si="1"/>
        <v>1809574.2733272577</v>
      </c>
      <c r="AA3" s="14">
        <f t="shared" si="1"/>
        <v>1737182.1864295746</v>
      </c>
      <c r="AB3" s="14">
        <f t="shared" si="1"/>
        <v>1666026.0096452709</v>
      </c>
      <c r="AC3" s="14">
        <f t="shared" si="1"/>
        <v>1596082.2645795217</v>
      </c>
      <c r="AD3" s="14">
        <f t="shared" si="1"/>
        <v>1527359.62526564</v>
      </c>
      <c r="AE3" s="14">
        <f t="shared" si="1"/>
        <v>1459886.4020089833</v>
      </c>
      <c r="AF3" s="14">
        <f t="shared" si="1"/>
        <v>1393671.8346537694</v>
      </c>
      <c r="AG3" s="14">
        <f t="shared" si="1"/>
        <v>1328730.9957230953</v>
      </c>
      <c r="AH3" s="14">
        <f t="shared" si="1"/>
        <v>1265064.4593613809</v>
      </c>
      <c r="AI3" s="14">
        <f t="shared" si="1"/>
        <v>1202739.0183116177</v>
      </c>
      <c r="AJ3" s="14">
        <f t="shared" si="1"/>
        <v>1141772.5765253459</v>
      </c>
      <c r="AK3" s="14">
        <f t="shared" si="1"/>
        <v>1082221.7664977619</v>
      </c>
      <c r="AL3" s="14">
        <f t="shared" si="1"/>
        <v>1024156.3611124086</v>
      </c>
      <c r="AM3" s="14">
        <f t="shared" si="1"/>
        <v>967606.3040748504</v>
      </c>
      <c r="AN3" s="14">
        <f t="shared" si="1"/>
        <v>912678.99435189681</v>
      </c>
      <c r="AO3" s="14">
        <f t="shared" si="1"/>
        <v>859438.72200459975</v>
      </c>
      <c r="AP3" s="14">
        <f t="shared" si="1"/>
        <v>807982.3464337734</v>
      </c>
      <c r="AQ3" s="14">
        <f t="shared" si="1"/>
        <v>758422.11198333325</v>
      </c>
      <c r="AR3" s="14">
        <f t="shared" si="1"/>
        <v>710881.94108536292</v>
      </c>
      <c r="AS3" s="14">
        <f t="shared" si="1"/>
        <v>665539.52977189037</v>
      </c>
      <c r="AT3" s="14">
        <f t="shared" si="1"/>
        <v>622511.69050596934</v>
      </c>
      <c r="AU3" s="14">
        <f t="shared" si="1"/>
        <v>581981.57871523313</v>
      </c>
      <c r="AV3" s="14">
        <f t="shared" si="1"/>
        <v>544186.8161646825</v>
      </c>
      <c r="AW3" s="14">
        <f t="shared" si="1"/>
        <v>509317.77633050794</v>
      </c>
      <c r="AX3" s="14">
        <f t="shared" si="1"/>
        <v>477640.72317778622</v>
      </c>
      <c r="AY3" s="14">
        <f t="shared" si="1"/>
        <v>449441.84555348667</v>
      </c>
      <c r="AZ3" s="14">
        <f t="shared" si="1"/>
        <v>425023.06776525558</v>
      </c>
      <c r="BA3" s="14">
        <f t="shared" si="1"/>
        <v>404731.60757590859</v>
      </c>
      <c r="BB3" s="14">
        <f t="shared" si="1"/>
        <v>388968.02402972645</v>
      </c>
      <c r="BC3" s="14">
        <f t="shared" si="1"/>
        <v>378142.96144494438</v>
      </c>
      <c r="BD3" s="14">
        <f t="shared" si="1"/>
        <v>372769.2829138806</v>
      </c>
      <c r="BE3" s="14">
        <f t="shared" si="1"/>
        <v>373402.68523050117</v>
      </c>
      <c r="BF3" s="14">
        <f t="shared" si="1"/>
        <v>382389.99876629323</v>
      </c>
      <c r="BG3" s="14">
        <f t="shared" si="1"/>
        <v>381750.31658016244</v>
      </c>
      <c r="BH3" s="14">
        <f t="shared" si="1"/>
        <v>399144.66938223544</v>
      </c>
      <c r="BI3" s="14">
        <f t="shared" si="1"/>
        <v>425389.43361846078</v>
      </c>
      <c r="BJ3" s="14">
        <f t="shared" si="1"/>
        <v>461409.25233874848</v>
      </c>
    </row>
    <row r="4" spans="1:62" x14ac:dyDescent="0.2">
      <c r="C4" s="65"/>
      <c r="D4" s="65"/>
      <c r="E4" s="65"/>
      <c r="F4" s="65"/>
      <c r="G4" s="65"/>
    </row>
    <row r="5" spans="1:62" x14ac:dyDescent="0.2">
      <c r="B5" s="26" t="s">
        <v>120</v>
      </c>
      <c r="C5" s="64"/>
      <c r="D5" s="65"/>
      <c r="E5" s="65"/>
      <c r="F5" s="65"/>
      <c r="G5" s="65"/>
    </row>
    <row r="6" spans="1:62" x14ac:dyDescent="0.2">
      <c r="B6" s="27" t="s">
        <v>121</v>
      </c>
      <c r="C6" s="64">
        <f>'Monthly Income Statement'!C8</f>
        <v>3613.2637449999997</v>
      </c>
      <c r="D6" s="64">
        <f>'Monthly Income Statement'!D8</f>
        <v>3941.3917240000001</v>
      </c>
      <c r="E6" s="64">
        <f>'Monthly Income Statement'!E8</f>
        <v>4353.519779799999</v>
      </c>
      <c r="F6" s="64">
        <f>'Monthly Income Statement'!F8</f>
        <v>4916.8579048000001</v>
      </c>
      <c r="G6" s="64">
        <f>'Monthly Income Statement'!G8</f>
        <v>22465.296064000002</v>
      </c>
      <c r="H6" s="1">
        <f>'Monthly Income Statement'!H8</f>
        <v>27249.531166220801</v>
      </c>
      <c r="I6" s="1">
        <f>'Monthly Income Statement'!I8</f>
        <v>32198.760814729329</v>
      </c>
      <c r="J6" s="1">
        <f>'Monthly Income Statement'!J8</f>
        <v>36990.022123542345</v>
      </c>
      <c r="K6" s="1">
        <f>'Monthly Income Statement'!K8</f>
        <v>41729.044919540895</v>
      </c>
      <c r="L6" s="1">
        <f>'Monthly Income Statement'!L8</f>
        <v>46333.799381801684</v>
      </c>
      <c r="M6" s="1">
        <f>'Monthly Income Statement'!M8</f>
        <v>50853.046254275563</v>
      </c>
      <c r="N6" s="1">
        <f>'Monthly Income Statement'!N8</f>
        <v>55234.763611543654</v>
      </c>
      <c r="O6" s="1">
        <f>'Monthly Income Statement'!O8</f>
        <v>59556.068362502258</v>
      </c>
      <c r="P6" s="1">
        <f>'Monthly Income Statement'!P8</f>
        <v>63773.161809070065</v>
      </c>
      <c r="Q6" s="1">
        <f>'Monthly Income Statement'!Q8</f>
        <v>67970.279867998703</v>
      </c>
      <c r="R6" s="1">
        <f>'Monthly Income Statement'!R8</f>
        <v>72021.368869752478</v>
      </c>
      <c r="S6" s="1">
        <f>'Monthly Income Statement'!S8</f>
        <v>76042.550443049491</v>
      </c>
      <c r="T6" s="1">
        <f>'Monthly Income Statement'!T8</f>
        <v>79947.692007762686</v>
      </c>
      <c r="U6" s="1">
        <f>'Monthly Income Statement'!U8</f>
        <v>83901.722279060836</v>
      </c>
      <c r="V6" s="1">
        <f>'Monthly Income Statement'!V8</f>
        <v>87838.876113281061</v>
      </c>
      <c r="W6" s="1">
        <f>'Monthly Income Statement'!W8</f>
        <v>91744.057565986062</v>
      </c>
      <c r="X6" s="1">
        <f>'Monthly Income Statement'!X8</f>
        <v>95375.827441140995</v>
      </c>
      <c r="Y6" s="1">
        <f>'Monthly Income Statement'!Y8</f>
        <v>98956.104852935634</v>
      </c>
      <c r="Z6" s="1">
        <f>'Monthly Income Statement'!Z8</f>
        <v>102575.07430335179</v>
      </c>
      <c r="AA6" s="1">
        <f>'Monthly Income Statement'!AA8</f>
        <v>106145.7752963797</v>
      </c>
      <c r="AB6" s="1">
        <f>'Monthly Income Statement'!AB8</f>
        <v>109760.72215825706</v>
      </c>
      <c r="AC6" s="1">
        <f>'Monthly Income Statement'!AC8</f>
        <v>113458.47472380292</v>
      </c>
      <c r="AD6" s="1">
        <f>'Monthly Income Statement'!AD8</f>
        <v>117183.51648949836</v>
      </c>
      <c r="AE6" s="1">
        <f>'Monthly Income Statement'!AE8</f>
        <v>120963.11344757542</v>
      </c>
      <c r="AF6" s="1">
        <f>'Monthly Income Statement'!AF8</f>
        <v>124774.08526814186</v>
      </c>
      <c r="AG6" s="1">
        <f>'Monthly Income Statement'!AG8</f>
        <v>128778.68016631099</v>
      </c>
      <c r="AH6" s="1">
        <f>'Monthly Income Statement'!AH8</f>
        <v>132856.14209071931</v>
      </c>
      <c r="AI6" s="1">
        <f>'Monthly Income Statement'!AI8</f>
        <v>137108.09595756349</v>
      </c>
      <c r="AJ6" s="1">
        <f>'Monthly Income Statement'!AJ8</f>
        <v>141572.51360811797</v>
      </c>
      <c r="AK6" s="1">
        <f>'Monthly Income Statement'!AK8</f>
        <v>146156.02677692386</v>
      </c>
      <c r="AL6" s="1">
        <f>'Monthly Income Statement'!AL8</f>
        <v>151070.20320180402</v>
      </c>
      <c r="AM6" s="1">
        <f>'Monthly Income Statement'!AM8</f>
        <v>156184.01176558089</v>
      </c>
      <c r="AN6" s="1">
        <f>'Monthly Income Statement'!AN8</f>
        <v>161610.55687551771</v>
      </c>
      <c r="AO6" s="1">
        <f>'Monthly Income Statement'!AO8</f>
        <v>167395.05453919858</v>
      </c>
      <c r="AP6" s="1">
        <f>'Monthly Income Statement'!AP8</f>
        <v>173583.15210163654</v>
      </c>
      <c r="AQ6" s="1">
        <f>'Monthly Income Statement'!AQ8</f>
        <v>180298.22895224116</v>
      </c>
      <c r="AR6" s="1">
        <f>'Monthly Income Statement'!AR8</f>
        <v>187399.30518599771</v>
      </c>
      <c r="AS6" s="1">
        <f>'Monthly Income Statement'!AS8</f>
        <v>195089.58804313585</v>
      </c>
      <c r="AT6" s="1">
        <f>'Monthly Income Statement'!AT8</f>
        <v>203503.4383387212</v>
      </c>
      <c r="AU6" s="1">
        <f>'Monthly Income Statement'!AU8</f>
        <v>212531.49581085166</v>
      </c>
      <c r="AV6" s="1">
        <f>'Monthly Income Statement'!AV8</f>
        <v>222393.28591696036</v>
      </c>
      <c r="AW6" s="1">
        <f>'Monthly Income Statement'!AW8</f>
        <v>233148.4634039079</v>
      </c>
      <c r="AX6" s="1">
        <f>'Monthly Income Statement'!AX8</f>
        <v>244857.67547321055</v>
      </c>
      <c r="AY6" s="1">
        <f>'Monthly Income Statement'!AY8</f>
        <v>257673.15775098541</v>
      </c>
      <c r="AZ6" s="1">
        <f>'Monthly Income Statement'!AZ8</f>
        <v>271732.06504515774</v>
      </c>
      <c r="BA6" s="1">
        <f>'Monthly Income Statement'!BA8</f>
        <v>287103.90695078828</v>
      </c>
      <c r="BB6" s="1">
        <f>'Monthly Income Statement'!BB8</f>
        <v>304086.25343044254</v>
      </c>
      <c r="BC6" s="1">
        <f>'Monthly Income Statement'!BC8</f>
        <v>322797.43145452614</v>
      </c>
      <c r="BD6" s="1">
        <f>'Monthly Income Statement'!BD8</f>
        <v>343323.21983743139</v>
      </c>
      <c r="BE6" s="1">
        <f>'Monthly Income Statement'!BE8</f>
        <v>366058.83970370976</v>
      </c>
      <c r="BF6" s="1">
        <f>'Monthly Income Statement'!BF8</f>
        <v>391175.388878992</v>
      </c>
      <c r="BG6" s="1">
        <f>'Monthly Income Statement'!BG8</f>
        <v>418883.74195235537</v>
      </c>
      <c r="BH6" s="1">
        <f>'Monthly Income Statement'!BH8</f>
        <v>449509.47039781243</v>
      </c>
      <c r="BI6" s="1">
        <f>'Monthly Income Statement'!BI8</f>
        <v>483355.43046907306</v>
      </c>
      <c r="BJ6" s="1">
        <f>'Monthly Income Statement'!BJ8</f>
        <v>520952.84957641811</v>
      </c>
    </row>
    <row r="7" spans="1:62" x14ac:dyDescent="0.2">
      <c r="B7" s="27" t="s">
        <v>122</v>
      </c>
      <c r="C7" s="64">
        <f>'Monthly Balance Sheet'!B5-'Monthly Balance Sheet'!C5</f>
        <v>-3556</v>
      </c>
      <c r="D7" s="64">
        <f>'Monthly Balance Sheet'!C5-'Monthly Balance Sheet'!D5</f>
        <v>-343</v>
      </c>
      <c r="E7" s="64">
        <f>'Monthly Balance Sheet'!D5-'Monthly Balance Sheet'!E5</f>
        <v>-456</v>
      </c>
      <c r="F7" s="64">
        <f>'Monthly Balance Sheet'!E5-'Monthly Balance Sheet'!F5</f>
        <v>-552</v>
      </c>
      <c r="G7" s="64">
        <f>'Monthly Balance Sheet'!F5-'Monthly Balance Sheet'!G5</f>
        <v>-17549</v>
      </c>
      <c r="H7" s="1">
        <f>'Monthly Balance Sheet'!G5-'Monthly Balance Sheet'!H5</f>
        <v>-4793.5311662208005</v>
      </c>
      <c r="I7" s="1">
        <f>'Monthly Balance Sheet'!H5-'Monthly Balance Sheet'!I5</f>
        <v>-4949.229648508528</v>
      </c>
      <c r="J7" s="1">
        <f>'Monthly Balance Sheet'!I5-'Monthly Balance Sheet'!J5</f>
        <v>-4791.2613088130165</v>
      </c>
      <c r="K7" s="1">
        <f>'Monthly Balance Sheet'!J5-'Monthly Balance Sheet'!K5</f>
        <v>-4739.0227959985496</v>
      </c>
      <c r="L7" s="1">
        <f>'Monthly Balance Sheet'!K5-'Monthly Balance Sheet'!L5</f>
        <v>-4604.7544622607893</v>
      </c>
      <c r="M7" s="1">
        <f>'Monthly Balance Sheet'!L5-'Monthly Balance Sheet'!M5</f>
        <v>-4519.2468724738792</v>
      </c>
      <c r="N7" s="1">
        <f>'Monthly Balance Sheet'!M5-'Monthly Balance Sheet'!N5</f>
        <v>-4381.7173572680913</v>
      </c>
      <c r="O7" s="1">
        <f>'Monthly Balance Sheet'!N5-'Monthly Balance Sheet'!O5</f>
        <v>-4321.3047509586031</v>
      </c>
      <c r="P7" s="1">
        <f>'Monthly Balance Sheet'!O5-'Monthly Balance Sheet'!P5</f>
        <v>-4217.0934465678074</v>
      </c>
      <c r="Q7" s="1">
        <f>'Monthly Balance Sheet'!P5-'Monthly Balance Sheet'!Q5</f>
        <v>-4197.1180589286378</v>
      </c>
      <c r="R7" s="1">
        <f>'Monthly Balance Sheet'!Q5-'Monthly Balance Sheet'!R5</f>
        <v>-4051.0890017537749</v>
      </c>
      <c r="S7" s="1">
        <f>'Monthly Balance Sheet'!R5-'Monthly Balance Sheet'!S5</f>
        <v>-4021.1815732970135</v>
      </c>
      <c r="T7" s="1">
        <f>'Monthly Balance Sheet'!S5-'Monthly Balance Sheet'!T5</f>
        <v>-3905.1415647131944</v>
      </c>
      <c r="U7" s="1">
        <f>'Monthly Balance Sheet'!T5-'Monthly Balance Sheet'!U5</f>
        <v>-3954.0302712981502</v>
      </c>
      <c r="V7" s="1">
        <f>'Monthly Balance Sheet'!U5-'Monthly Balance Sheet'!V5</f>
        <v>-3937.1538342202257</v>
      </c>
      <c r="W7" s="1">
        <f>'Monthly Balance Sheet'!V5-'Monthly Balance Sheet'!W5</f>
        <v>-3905.181452705001</v>
      </c>
      <c r="X7" s="1">
        <f>'Monthly Balance Sheet'!W5-'Monthly Balance Sheet'!X5</f>
        <v>-3631.7698751549324</v>
      </c>
      <c r="Y7" s="1">
        <f>'Monthly Balance Sheet'!X5-'Monthly Balance Sheet'!Y5</f>
        <v>-3580.2774117946392</v>
      </c>
      <c r="Z7" s="1">
        <f>'Monthly Balance Sheet'!Y5-'Monthly Balance Sheet'!Z5</f>
        <v>-3618.9694504161598</v>
      </c>
      <c r="AA7" s="1">
        <f>'Monthly Balance Sheet'!Z5-'Monthly Balance Sheet'!AA5</f>
        <v>-3570.7009930279019</v>
      </c>
      <c r="AB7" s="1">
        <f>'Monthly Balance Sheet'!AA5-'Monthly Balance Sheet'!AB5</f>
        <v>-3614.9468618773681</v>
      </c>
      <c r="AC7" s="1">
        <f>'Monthly Balance Sheet'!AB5-'Monthly Balance Sheet'!AC5</f>
        <v>-3697.7525655458594</v>
      </c>
      <c r="AD7" s="1">
        <f>'Monthly Balance Sheet'!AC5-'Monthly Balance Sheet'!AD5</f>
        <v>-3725.0417656954378</v>
      </c>
      <c r="AE7" s="1">
        <f>'Monthly Balance Sheet'!AD5-'Monthly Balance Sheet'!AE5</f>
        <v>-3779.5969580770616</v>
      </c>
      <c r="AF7" s="1">
        <f>'Monthly Balance Sheet'!AE5-'Monthly Balance Sheet'!AF5</f>
        <v>-3810.9718205664394</v>
      </c>
      <c r="AG7" s="1">
        <f>'Monthly Balance Sheet'!AF5-'Monthly Balance Sheet'!AG5</f>
        <v>-4004.5948981691326</v>
      </c>
      <c r="AH7" s="1">
        <f>'Monthly Balance Sheet'!AG5-'Monthly Balance Sheet'!AH5</f>
        <v>-4077.4619244083151</v>
      </c>
      <c r="AI7" s="1">
        <f>'Monthly Balance Sheet'!AH5-'Monthly Balance Sheet'!AI5</f>
        <v>-4251.9538668441819</v>
      </c>
      <c r="AJ7" s="1">
        <f>'Monthly Balance Sheet'!AI5-'Monthly Balance Sheet'!AJ5</f>
        <v>-4464.4176505544747</v>
      </c>
      <c r="AK7" s="1">
        <f>'Monthly Balance Sheet'!AJ5-'Monthly Balance Sheet'!AK5</f>
        <v>-4583.51316880589</v>
      </c>
      <c r="AL7" s="1">
        <f>'Monthly Balance Sheet'!AK5-'Monthly Balance Sheet'!AL5</f>
        <v>-4914.1764248801628</v>
      </c>
      <c r="AM7" s="1">
        <f>'Monthly Balance Sheet'!AL5-'Monthly Balance Sheet'!AM5</f>
        <v>-5113.8085637768672</v>
      </c>
      <c r="AN7" s="1">
        <f>'Monthly Balance Sheet'!AM5-'Monthly Balance Sheet'!AN5</f>
        <v>-5426.545109936822</v>
      </c>
      <c r="AO7" s="1">
        <f>'Monthly Balance Sheet'!AN5-'Monthly Balance Sheet'!AO5</f>
        <v>-5784.4976636808715</v>
      </c>
      <c r="AP7" s="1">
        <f>'Monthly Balance Sheet'!AO5-'Monthly Balance Sheet'!AP5</f>
        <v>-6188.0975624379644</v>
      </c>
      <c r="AQ7" s="1">
        <f>'Monthly Balance Sheet'!AP5-'Monthly Balance Sheet'!AQ5</f>
        <v>-6715.0768506046152</v>
      </c>
      <c r="AR7" s="1">
        <f>'Monthly Balance Sheet'!AQ5-'Monthly Balance Sheet'!AR5</f>
        <v>-7101.0762337565538</v>
      </c>
      <c r="AS7" s="1">
        <f>'Monthly Balance Sheet'!AR5-'Monthly Balance Sheet'!AS5</f>
        <v>-7690.2828571381397</v>
      </c>
      <c r="AT7" s="1">
        <f>'Monthly Balance Sheet'!AS5-'Monthly Balance Sheet'!AT5</f>
        <v>-8413.8502955853473</v>
      </c>
      <c r="AU7" s="1">
        <f>'Monthly Balance Sheet'!AT5-'Monthly Balance Sheet'!AU5</f>
        <v>-9028.0574721304583</v>
      </c>
      <c r="AV7" s="1">
        <f>'Monthly Balance Sheet'!AU5-'Monthly Balance Sheet'!AV5</f>
        <v>-9861.7901061087032</v>
      </c>
      <c r="AW7" s="1">
        <f>'Monthly Balance Sheet'!AV5-'Monthly Balance Sheet'!AW5</f>
        <v>-10755.177486947534</v>
      </c>
      <c r="AX7" s="1">
        <f>'Monthly Balance Sheet'!AW5-'Monthly Balance Sheet'!AX5</f>
        <v>-11709.212069302652</v>
      </c>
      <c r="AY7" s="1">
        <f>'Monthly Balance Sheet'!AX5-'Monthly Balance Sheet'!AY5</f>
        <v>-12815.482277774863</v>
      </c>
      <c r="AZ7" s="1">
        <f>'Monthly Balance Sheet'!AY5-'Monthly Balance Sheet'!AZ5</f>
        <v>-14058.907294172328</v>
      </c>
      <c r="BA7" s="1">
        <f>'Monthly Balance Sheet'!AZ5-'Monthly Balance Sheet'!BA5</f>
        <v>-15371.841905630543</v>
      </c>
      <c r="BB7" s="1">
        <f>'Monthly Balance Sheet'!BA5-'Monthly Balance Sheet'!BB5</f>
        <v>-16982.346479654254</v>
      </c>
      <c r="BC7" s="1">
        <f>'Monthly Balance Sheet'!BB5-'Monthly Balance Sheet'!BC5</f>
        <v>-18711.178024083609</v>
      </c>
      <c r="BD7" s="1">
        <f>'Monthly Balance Sheet'!BC5-'Monthly Balance Sheet'!BD5</f>
        <v>-20525.788382905244</v>
      </c>
      <c r="BE7" s="1">
        <f>'Monthly Balance Sheet'!BD5-'Monthly Balance Sheet'!BE5</f>
        <v>-22735.619866278372</v>
      </c>
      <c r="BF7" s="1">
        <f>'Monthly Balance Sheet'!BE5-'Monthly Balance Sheet'!BF5</f>
        <v>-25116.549175282242</v>
      </c>
      <c r="BG7" s="1">
        <f>'Monthly Balance Sheet'!BF5-'Monthly Balance Sheet'!BG5</f>
        <v>-27708.353073363367</v>
      </c>
      <c r="BH7" s="1">
        <f>'Monthly Balance Sheet'!BG5-'Monthly Balance Sheet'!BH5</f>
        <v>-30625.728445457062</v>
      </c>
      <c r="BI7" s="1">
        <f>'Monthly Balance Sheet'!BH5-'Monthly Balance Sheet'!BI5</f>
        <v>-33845.960071260633</v>
      </c>
      <c r="BJ7" s="1">
        <f>'Monthly Balance Sheet'!BI5-'Monthly Balance Sheet'!BJ5</f>
        <v>-37597.419107345049</v>
      </c>
    </row>
    <row r="8" spans="1:62" x14ac:dyDescent="0.2">
      <c r="C8" s="64"/>
      <c r="D8" s="64"/>
      <c r="E8" s="64"/>
      <c r="F8" s="64"/>
      <c r="G8" s="6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x14ac:dyDescent="0.2">
      <c r="B9" s="29" t="s">
        <v>123</v>
      </c>
      <c r="C9" s="63">
        <f t="shared" ref="C9:G9" si="2">SUM(C5:C8)</f>
        <v>57.263744999999744</v>
      </c>
      <c r="D9" s="69">
        <f t="shared" si="2"/>
        <v>3598.3917240000001</v>
      </c>
      <c r="E9" s="69">
        <f t="shared" si="2"/>
        <v>3897.519779799999</v>
      </c>
      <c r="F9" s="69">
        <f t="shared" si="2"/>
        <v>4364.8579048000001</v>
      </c>
      <c r="G9" s="69">
        <f t="shared" si="2"/>
        <v>4916.2960640000019</v>
      </c>
      <c r="H9" s="5">
        <f t="shared" ref="H9:P9" si="3">SUM(H5:H8)</f>
        <v>22456</v>
      </c>
      <c r="I9" s="5">
        <f t="shared" si="3"/>
        <v>27249.531166220801</v>
      </c>
      <c r="J9" s="5">
        <f t="shared" si="3"/>
        <v>32198.760814729329</v>
      </c>
      <c r="K9" s="5">
        <f t="shared" si="3"/>
        <v>36990.022123542345</v>
      </c>
      <c r="L9" s="5">
        <f t="shared" si="3"/>
        <v>41729.044919540895</v>
      </c>
      <c r="M9" s="5">
        <f t="shared" si="3"/>
        <v>46333.799381801684</v>
      </c>
      <c r="N9" s="5">
        <f t="shared" si="3"/>
        <v>50853.046254275563</v>
      </c>
      <c r="O9" s="5">
        <f t="shared" si="3"/>
        <v>55234.763611543654</v>
      </c>
      <c r="P9" s="5">
        <f t="shared" si="3"/>
        <v>59556.068362502258</v>
      </c>
      <c r="Q9" s="5">
        <f t="shared" ref="Q9" si="4">SUM(Q5:Q8)</f>
        <v>63773.161809070065</v>
      </c>
      <c r="R9" s="5">
        <f t="shared" ref="R9" si="5">SUM(R5:R8)</f>
        <v>67970.279867998703</v>
      </c>
      <c r="S9" s="5">
        <f t="shared" ref="S9" si="6">SUM(S5:S8)</f>
        <v>72021.368869752478</v>
      </c>
      <c r="T9" s="5">
        <f t="shared" ref="T9" si="7">SUM(T5:T8)</f>
        <v>76042.550443049491</v>
      </c>
      <c r="U9" s="5">
        <f t="shared" ref="U9" si="8">SUM(U5:U8)</f>
        <v>79947.692007762686</v>
      </c>
      <c r="V9" s="5">
        <f t="shared" ref="V9" si="9">SUM(V5:V8)</f>
        <v>83901.722279060836</v>
      </c>
      <c r="W9" s="5">
        <f t="shared" ref="W9" si="10">SUM(W5:W8)</f>
        <v>87838.876113281061</v>
      </c>
      <c r="X9" s="5">
        <f t="shared" ref="X9" si="11">SUM(X5:X8)</f>
        <v>91744.057565986062</v>
      </c>
      <c r="Y9" s="5">
        <f t="shared" ref="Y9" si="12">SUM(Y5:Y8)</f>
        <v>95375.827441140995</v>
      </c>
      <c r="Z9" s="5">
        <f t="shared" ref="Z9" si="13">SUM(Z5:Z8)</f>
        <v>98956.104852935634</v>
      </c>
      <c r="AA9" s="5">
        <f t="shared" ref="AA9:AB9" si="14">SUM(AA5:AA8)</f>
        <v>102575.07430335179</v>
      </c>
      <c r="AB9" s="5">
        <f t="shared" si="14"/>
        <v>106145.7752963797</v>
      </c>
      <c r="AC9" s="5">
        <f t="shared" ref="AC9" si="15">SUM(AC5:AC8)</f>
        <v>109760.72215825706</v>
      </c>
      <c r="AD9" s="5">
        <f t="shared" ref="AD9" si="16">SUM(AD5:AD8)</f>
        <v>113458.47472380292</v>
      </c>
      <c r="AE9" s="5">
        <f t="shared" ref="AE9" si="17">SUM(AE5:AE8)</f>
        <v>117183.51648949836</v>
      </c>
      <c r="AF9" s="5">
        <f t="shared" ref="AF9" si="18">SUM(AF5:AF8)</f>
        <v>120963.11344757542</v>
      </c>
      <c r="AG9" s="5">
        <f t="shared" ref="AG9" si="19">SUM(AG5:AG8)</f>
        <v>124774.08526814186</v>
      </c>
      <c r="AH9" s="5">
        <f t="shared" ref="AH9" si="20">SUM(AH5:AH8)</f>
        <v>128778.68016631099</v>
      </c>
      <c r="AI9" s="5">
        <f t="shared" ref="AI9" si="21">SUM(AI5:AI8)</f>
        <v>132856.14209071931</v>
      </c>
      <c r="AJ9" s="5">
        <f t="shared" ref="AJ9" si="22">SUM(AJ5:AJ8)</f>
        <v>137108.09595756349</v>
      </c>
      <c r="AK9" s="5">
        <f t="shared" ref="AK9" si="23">SUM(AK5:AK8)</f>
        <v>141572.51360811797</v>
      </c>
      <c r="AL9" s="5">
        <f t="shared" ref="AL9" si="24">SUM(AL5:AL8)</f>
        <v>146156.02677692386</v>
      </c>
      <c r="AM9" s="5">
        <f t="shared" ref="AM9:AN9" si="25">SUM(AM5:AM8)</f>
        <v>151070.20320180402</v>
      </c>
      <c r="AN9" s="5">
        <f t="shared" si="25"/>
        <v>156184.01176558089</v>
      </c>
      <c r="AO9" s="5">
        <f t="shared" ref="AO9" si="26">SUM(AO5:AO8)</f>
        <v>161610.55687551771</v>
      </c>
      <c r="AP9" s="5">
        <f t="shared" ref="AP9" si="27">SUM(AP5:AP8)</f>
        <v>167395.05453919858</v>
      </c>
      <c r="AQ9" s="5">
        <f t="shared" ref="AQ9" si="28">SUM(AQ5:AQ8)</f>
        <v>173583.15210163654</v>
      </c>
      <c r="AR9" s="5">
        <f t="shared" ref="AR9" si="29">SUM(AR5:AR8)</f>
        <v>180298.22895224116</v>
      </c>
      <c r="AS9" s="5">
        <f t="shared" ref="AS9" si="30">SUM(AS5:AS8)</f>
        <v>187399.30518599771</v>
      </c>
      <c r="AT9" s="5">
        <f t="shared" ref="AT9" si="31">SUM(AT5:AT8)</f>
        <v>195089.58804313585</v>
      </c>
      <c r="AU9" s="5">
        <f t="shared" ref="AU9" si="32">SUM(AU5:AU8)</f>
        <v>203503.4383387212</v>
      </c>
      <c r="AV9" s="5">
        <f t="shared" ref="AV9" si="33">SUM(AV5:AV8)</f>
        <v>212531.49581085166</v>
      </c>
      <c r="AW9" s="5">
        <f t="shared" ref="AW9" si="34">SUM(AW5:AW8)</f>
        <v>222393.28591696036</v>
      </c>
      <c r="AX9" s="5">
        <f t="shared" ref="AX9" si="35">SUM(AX5:AX8)</f>
        <v>233148.4634039079</v>
      </c>
      <c r="AY9" s="5">
        <f t="shared" ref="AY9:AZ9" si="36">SUM(AY5:AY8)</f>
        <v>244857.67547321055</v>
      </c>
      <c r="AZ9" s="5">
        <f t="shared" si="36"/>
        <v>257673.15775098541</v>
      </c>
      <c r="BA9" s="5">
        <f t="shared" ref="BA9" si="37">SUM(BA5:BA8)</f>
        <v>271732.06504515774</v>
      </c>
      <c r="BB9" s="5">
        <f t="shared" ref="BB9" si="38">SUM(BB5:BB8)</f>
        <v>287103.90695078828</v>
      </c>
      <c r="BC9" s="5">
        <f t="shared" ref="BC9" si="39">SUM(BC5:BC8)</f>
        <v>304086.25343044254</v>
      </c>
      <c r="BD9" s="5">
        <f t="shared" ref="BD9" si="40">SUM(BD5:BD8)</f>
        <v>322797.43145452614</v>
      </c>
      <c r="BE9" s="5">
        <f t="shared" ref="BE9" si="41">SUM(BE5:BE8)</f>
        <v>343323.21983743139</v>
      </c>
      <c r="BF9" s="5">
        <f t="shared" ref="BF9" si="42">SUM(BF5:BF8)</f>
        <v>366058.83970370976</v>
      </c>
      <c r="BG9" s="5">
        <f t="shared" ref="BG9" si="43">SUM(BG5:BG8)</f>
        <v>391175.388878992</v>
      </c>
      <c r="BH9" s="5">
        <f t="shared" ref="BH9" si="44">SUM(BH5:BH8)</f>
        <v>418883.74195235537</v>
      </c>
      <c r="BI9" s="5">
        <f t="shared" ref="BI9" si="45">SUM(BI5:BI8)</f>
        <v>449509.47039781243</v>
      </c>
      <c r="BJ9" s="5">
        <f t="shared" ref="BJ9" si="46">SUM(BJ5:BJ8)</f>
        <v>483355.43046907306</v>
      </c>
    </row>
    <row r="10" spans="1:62" x14ac:dyDescent="0.2">
      <c r="B10" s="26"/>
      <c r="C10" s="64"/>
      <c r="D10" s="64"/>
      <c r="E10" s="64"/>
      <c r="F10" s="64"/>
      <c r="G10" s="6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x14ac:dyDescent="0.2">
      <c r="B11" s="28" t="s">
        <v>124</v>
      </c>
      <c r="C11" s="64"/>
      <c r="D11" s="64"/>
      <c r="E11" s="64"/>
      <c r="F11" s="64"/>
      <c r="G11" s="6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x14ac:dyDescent="0.2">
      <c r="B12" s="26" t="s">
        <v>125</v>
      </c>
      <c r="C12" s="64">
        <f>-('Monthly Income Statement'!C14+'Monthly Income Statement'!C21+'Monthly Income Statement'!C33)</f>
        <v>-43196.921666666669</v>
      </c>
      <c r="D12" s="64">
        <f>-('Monthly Income Statement'!D14+'Monthly Income Statement'!D21+'Monthly Income Statement'!D33)</f>
        <v>-43462.182166666673</v>
      </c>
      <c r="E12" s="64">
        <f>-('Monthly Income Statement'!E14+'Monthly Income Statement'!E21+'Monthly Income Statement'!E33)</f>
        <v>-71588.581666666665</v>
      </c>
      <c r="F12" s="64">
        <f>-('Monthly Income Statement'!F14+'Monthly Income Statement'!F21+'Monthly Income Statement'!F33)</f>
        <v>-78426.842333333349</v>
      </c>
      <c r="G12" s="64">
        <f>-('Monthly Income Statement'!G14+'Monthly Income Statement'!G21+'Monthly Income Statement'!G33)</f>
        <v>-104815.48733333334</v>
      </c>
      <c r="H12" s="1">
        <f>-('Monthly Income Statement'!H14+'Monthly Income Statement'!H21+'Monthly Income Statement'!H33)</f>
        <v>-107970.06315040842</v>
      </c>
      <c r="I12" s="1">
        <f>-('Monthly Income Statement'!I14+'Monthly Income Statement'!I21+'Monthly Income Statement'!I33)</f>
        <v>-111320.04114545841</v>
      </c>
      <c r="J12" s="1">
        <f>-('Monthly Income Statement'!J14+'Monthly Income Statement'!J21+'Monthly Income Statement'!J33)</f>
        <v>-114540.08955372943</v>
      </c>
      <c r="K12" s="1">
        <f>-('Monthly Income Statement'!K14+'Monthly Income Statement'!K21+'Monthly Income Statement'!K33)</f>
        <v>-117704.01457151081</v>
      </c>
      <c r="L12" s="1">
        <f>-('Monthly Income Statement'!L14+'Monthly Income Statement'!L21+'Monthly Income Statement'!L33)</f>
        <v>-120755.08628201328</v>
      </c>
      <c r="M12" s="1">
        <f>-('Monthly Income Statement'!M14+'Monthly Income Statement'!M21+'Monthly Income Statement'!M33)</f>
        <v>-123728.94501875954</v>
      </c>
      <c r="N12" s="1">
        <f>-('Monthly Income Statement'!N14+'Monthly Income Statement'!N21+'Monthly Income Statement'!N33)</f>
        <v>-126589.06199892968</v>
      </c>
      <c r="O12" s="1">
        <f>-('Monthly Income Statement'!O14+'Monthly Income Statement'!O21+'Monthly Income Statement'!O33)</f>
        <v>-145762.58617101648</v>
      </c>
      <c r="P12" s="1">
        <f>-('Monthly Income Statement'!P14+'Monthly Income Statement'!P21+'Monthly Income Statement'!P33)</f>
        <v>-143486.47680810903</v>
      </c>
      <c r="Q12" s="1">
        <f>-('Monthly Income Statement'!Q14+'Monthly Income Statement'!Q21+'Monthly Income Statement'!Q33)</f>
        <v>-146182.3900624557</v>
      </c>
      <c r="R12" s="1">
        <f>-('Monthly Income Statement'!R14+'Monthly Income Statement'!R21+'Monthly Income Statement'!R33)</f>
        <v>-148763.986838721</v>
      </c>
      <c r="S12" s="1">
        <f>-('Monthly Income Statement'!S14+'Monthly Income Statement'!S21+'Monthly Income Statement'!S33)</f>
        <v>-151319.2682676205</v>
      </c>
      <c r="T12" s="1">
        <f>-('Monthly Income Statement'!T14+'Monthly Income Statement'!T21+'Monthly Income Statement'!T33)</f>
        <v>-153781.80979674298</v>
      </c>
      <c r="U12" s="1">
        <f>-('Monthly Income Statement'!U14+'Monthly Income Statement'!U21+'Monthly Income Statement'!U33)</f>
        <v>-156264.75318143729</v>
      </c>
      <c r="V12" s="1">
        <f>-('Monthly Income Statement'!V14+'Monthly Income Statement'!V21+'Monthly Income Statement'!V33)</f>
        <v>-158725.39986201809</v>
      </c>
      <c r="W12" s="1">
        <f>-('Monthly Income Statement'!W14+'Monthly Income Statement'!W21+'Monthly Income Statement'!W33)</f>
        <v>-161152.20643121592</v>
      </c>
      <c r="X12" s="1">
        <f>-('Monthly Income Statement'!X14+'Monthly Income Statement'!X21+'Monthly Income Statement'!X33)</f>
        <v>-173662.1209542983</v>
      </c>
      <c r="Y12" s="1">
        <f>-('Monthly Income Statement'!Y14+'Monthly Income Statement'!Y21+'Monthly Income Statement'!Y33)</f>
        <v>-171022.09831254499</v>
      </c>
      <c r="Z12" s="1">
        <f>-('Monthly Income Statement'!Z14+'Monthly Income Statement'!Z21+'Monthly Income Statement'!Z33)</f>
        <v>-173410.23196228335</v>
      </c>
      <c r="AA12" s="1">
        <f>-('Monthly Income Statement'!AA14+'Monthly Income Statement'!AA21+'Monthly Income Statement'!AA33)</f>
        <v>-175767.23858168209</v>
      </c>
      <c r="AB12" s="1">
        <f>-('Monthly Income Statement'!AB14+'Monthly Income Statement'!AB21+'Monthly Income Statement'!AB33)</f>
        <v>-178156.16694764339</v>
      </c>
      <c r="AC12" s="1">
        <f>-('Monthly Income Statement'!AC14+'Monthly Income Statement'!AC21+'Monthly Income Statement'!AC33)</f>
        <v>-180602.28684730735</v>
      </c>
      <c r="AD12" s="1">
        <f>-('Monthly Income Statement'!AD14+'Monthly Income Statement'!AD21+'Monthly Income Statement'!AD33)</f>
        <v>-183066.65703842667</v>
      </c>
      <c r="AE12" s="1">
        <f>-('Monthly Income Statement'!AE14+'Monthly Income Statement'!AE21+'Monthly Income Statement'!AE33)</f>
        <v>-185569.92795069894</v>
      </c>
      <c r="AF12" s="1">
        <f>-('Monthly Income Statement'!AF14+'Monthly Income Statement'!AF21+'Monthly Income Statement'!AF33)</f>
        <v>-188094.13238857302</v>
      </c>
      <c r="AG12" s="1">
        <f>-('Monthly Income Statement'!AG14+'Monthly Income Statement'!AG21+'Monthly Income Statement'!AG33)</f>
        <v>-190751.0893209168</v>
      </c>
      <c r="AH12" s="1">
        <f>-('Monthly Income Statement'!AH14+'Monthly Income Statement'!AH21+'Monthly Income Statement'!AH33)</f>
        <v>-193456.15386906557</v>
      </c>
      <c r="AI12" s="1">
        <f>-('Monthly Income Statement'!AI14+'Monthly Income Statement'!AI21+'Monthly Income Statement'!AI33)</f>
        <v>-196278.68926127322</v>
      </c>
      <c r="AJ12" s="1">
        <f>-('Monthly Income Statement'!AJ14+'Monthly Income Statement'!AJ21+'Monthly Income Statement'!AJ33)</f>
        <v>-199246.78577531473</v>
      </c>
      <c r="AK12" s="1">
        <f>-('Monthly Income Statement'!AK14+'Monthly Income Statement'!AK21+'Monthly Income Statement'!AK33)</f>
        <v>-202293.28743376257</v>
      </c>
      <c r="AL12" s="1">
        <f>-('Monthly Income Statement'!AL14+'Monthly Income Statement'!AL21+'Monthly Income Statement'!AL33)</f>
        <v>-205566.12337170329</v>
      </c>
      <c r="AM12" s="1">
        <f>-('Monthly Income Statement'!AM14+'Monthly Income Statement'!AM21+'Monthly Income Statement'!AM33)</f>
        <v>-208970.09024148167</v>
      </c>
      <c r="AN12" s="1">
        <f>-('Monthly Income Statement'!AN14+'Monthly Income Statement'!AN21+'Monthly Income Statement'!AN33)</f>
        <v>-212585.80520253797</v>
      </c>
      <c r="AO12" s="1">
        <f>-('Monthly Income Statement'!AO14+'Monthly Income Statement'!AO21+'Monthly Income Statement'!AO33)</f>
        <v>-216443.05120649264</v>
      </c>
      <c r="AP12" s="1">
        <f>-('Monthly Income Statement'!AP14+'Monthly Income Statement'!AP21+'Monthly Income Statement'!AP33)</f>
        <v>-220571.88659517508</v>
      </c>
      <c r="AQ12" s="1">
        <f>-('Monthly Income Statement'!AQ14+'Monthly Income Statement'!AQ21+'Monthly Income Statement'!AQ33)</f>
        <v>-225056.75782869675</v>
      </c>
      <c r="AR12" s="1">
        <f>-('Monthly Income Statement'!AR14+'Monthly Income Statement'!AR21+'Monthly Income Statement'!AR33)</f>
        <v>-229798.68256699713</v>
      </c>
      <c r="AS12" s="1">
        <f>-('Monthly Income Statement'!AS14+'Monthly Income Statement'!AS21+'Monthly Income Statement'!AS33)</f>
        <v>-234937.93282492924</v>
      </c>
      <c r="AT12" s="1">
        <f>-('Monthly Income Statement'!AT14+'Monthly Income Statement'!AT21+'Monthly Income Statement'!AT33)</f>
        <v>-240566.55353767541</v>
      </c>
      <c r="AU12" s="1">
        <f>-('Monthly Income Statement'!AU14+'Monthly Income Statement'!AU21+'Monthly Income Statement'!AU33)</f>
        <v>-246605.9492901768</v>
      </c>
      <c r="AV12" s="1">
        <f>-('Monthly Income Statement'!AV14+'Monthly Income Statement'!AV21+'Monthly Income Statement'!AV33)</f>
        <v>-253207.70551490894</v>
      </c>
      <c r="AW12" s="1">
        <f>-('Monthly Income Statement'!AW14+'Monthly Income Statement'!AW21+'Monthly Income Statement'!AW33)</f>
        <v>-260411.4550753464</v>
      </c>
      <c r="AX12" s="1">
        <f>-('Monthly Income Statement'!AX14+'Monthly Income Statement'!AX21+'Monthly Income Statement'!AX33)</f>
        <v>-268257.47817446239</v>
      </c>
      <c r="AY12" s="1">
        <f>-('Monthly Income Statement'!AY14+'Monthly Income Statement'!AY21+'Monthly Income Statement'!AY33)</f>
        <v>-276850.11479581427</v>
      </c>
      <c r="AZ12" s="1">
        <f>-('Monthly Income Statement'!AZ14+'Monthly Income Statement'!AZ21+'Monthly Income Statement'!AZ33)</f>
        <v>-286279.79212192539</v>
      </c>
      <c r="BA12" s="1">
        <f>-('Monthly Income Statement'!BA14+'Monthly Income Statement'!BA21+'Monthly Income Statement'!BA33)</f>
        <v>-296592.81708173378</v>
      </c>
      <c r="BB12" s="1">
        <f>-('Monthly Income Statement'!BB14+'Monthly Income Statement'!BB21+'Monthly Income Statement'!BB33)</f>
        <v>-307993.42448763794</v>
      </c>
      <c r="BC12" s="1">
        <f>-('Monthly Income Statement'!BC14+'Monthly Income Statement'!BC21+'Monthly Income Statement'!BC33)</f>
        <v>-320560.30053183227</v>
      </c>
      <c r="BD12" s="1">
        <f>-('Monthly Income Statement'!BD14+'Monthly Income Statement'!BD21+'Monthly Income Statement'!BD33)</f>
        <v>-334350.91321293788</v>
      </c>
      <c r="BE12" s="1">
        <f>-('Monthly Income Statement'!BE14+'Monthly Income Statement'!BE21+'Monthly Income Statement'!BE33)</f>
        <v>-359750.96835727844</v>
      </c>
      <c r="BF12" s="1">
        <f>-('Monthly Income Statement'!BF14+'Monthly Income Statement'!BF21+'Monthly Income Statement'!BF33)</f>
        <v>-371640.82670617802</v>
      </c>
      <c r="BG12" s="1">
        <f>-('Monthly Income Statement'!BG14+'Monthly Income Statement'!BG21+'Monthly Income Statement'!BG33)</f>
        <v>-390281.88214045955</v>
      </c>
      <c r="BH12" s="1">
        <f>-('Monthly Income Statement'!BH14+'Monthly Income Statement'!BH21+'Monthly Income Statement'!BH33)</f>
        <v>-410894.08289888193</v>
      </c>
      <c r="BI12" s="1">
        <f>-('Monthly Income Statement'!BI14+'Monthly Income Statement'!BI21+'Monthly Income Statement'!BI33)</f>
        <v>-433682.98417368456</v>
      </c>
      <c r="BJ12" s="1">
        <f>-('Monthly Income Statement'!BJ14+'Monthly Income Statement'!BJ21+'Monthly Income Statement'!BJ33)</f>
        <v>-459008.90614358574</v>
      </c>
    </row>
    <row r="13" spans="1:62" x14ac:dyDescent="0.2">
      <c r="B13" s="26" t="s">
        <v>137</v>
      </c>
      <c r="C13" s="64">
        <f>'Monthly Balance Sheet'!C12-'Monthly Balance Sheet'!B12</f>
        <v>13987</v>
      </c>
      <c r="D13" s="64">
        <f>'Monthly Balance Sheet'!D12-'Monthly Balance Sheet'!C12</f>
        <v>1360</v>
      </c>
      <c r="E13" s="64">
        <f>'Monthly Balance Sheet'!E12-'Monthly Balance Sheet'!D12</f>
        <v>23381</v>
      </c>
      <c r="F13" s="64">
        <f>'Monthly Balance Sheet'!F12-'Monthly Balance Sheet'!E12</f>
        <v>-6232</v>
      </c>
      <c r="G13" s="64">
        <f>'Monthly Balance Sheet'!G12-'Monthly Balance Sheet'!F12</f>
        <v>10795</v>
      </c>
      <c r="H13" s="1">
        <f>'Monthly Balance Sheet'!H12-'Monthly Balance Sheet'!G12</f>
        <v>9732.4596341501456</v>
      </c>
      <c r="I13" s="1">
        <f>'Monthly Balance Sheet'!I12-'Monthly Balance Sheet'!H12</f>
        <v>6699.955990100003</v>
      </c>
      <c r="J13" s="1">
        <f>'Monthly Balance Sheet'!J12-'Monthly Balance Sheet'!I12</f>
        <v>6440.0968165420054</v>
      </c>
      <c r="K13" s="1">
        <f>'Monthly Balance Sheet'!K12-'Monthly Balance Sheet'!J12</f>
        <v>6327.8500355627621</v>
      </c>
      <c r="L13" s="1">
        <f>'Monthly Balance Sheet'!L12-'Monthly Balance Sheet'!K12</f>
        <v>6102.1434210049629</v>
      </c>
      <c r="M13" s="1">
        <f>'Monthly Balance Sheet'!M12-'Monthly Balance Sheet'!L12</f>
        <v>5947.7174734925065</v>
      </c>
      <c r="N13" s="1">
        <f>'Monthly Balance Sheet'!N12-'Monthly Balance Sheet'!M12</f>
        <v>5720.2339603402797</v>
      </c>
      <c r="O13" s="1">
        <f>'Monthly Balance Sheet'!O12-'Monthly Balance Sheet'!N12</f>
        <v>17513.715010840286</v>
      </c>
      <c r="P13" s="1">
        <f>'Monthly Balance Sheet'!P12-'Monthly Balance Sheet'!O12</f>
        <v>-4552.2187258148915</v>
      </c>
      <c r="Q13" s="1">
        <f>'Monthly Balance Sheet'!Q12-'Monthly Balance Sheet'!P12</f>
        <v>5391.8265086933243</v>
      </c>
      <c r="R13" s="1">
        <f>'Monthly Balance Sheet'!R12-'Monthly Balance Sheet'!Q12</f>
        <v>5163.1935525306035</v>
      </c>
      <c r="S13" s="1">
        <f>'Monthly Balance Sheet'!S12-'Monthly Balance Sheet'!R12</f>
        <v>5110.5628577990137</v>
      </c>
      <c r="T13" s="1">
        <f>'Monthly Balance Sheet'!T12-'Monthly Balance Sheet'!S12</f>
        <v>4925.0830582449853</v>
      </c>
      <c r="U13" s="1">
        <f>'Monthly Balance Sheet'!U12-'Monthly Balance Sheet'!T12</f>
        <v>4965.8867693885841</v>
      </c>
      <c r="V13" s="1">
        <f>'Monthly Balance Sheet'!V12-'Monthly Balance Sheet'!U12</f>
        <v>4921.2933611616172</v>
      </c>
      <c r="W13" s="1">
        <f>'Monthly Balance Sheet'!W12-'Monthly Balance Sheet'!V12</f>
        <v>4853.6131383956526</v>
      </c>
      <c r="X13" s="1">
        <f>'Monthly Balance Sheet'!X12-'Monthly Balance Sheet'!W12</f>
        <v>16686.495712831413</v>
      </c>
      <c r="Y13" s="1">
        <f>'Monthly Balance Sheet'!Y12-'Monthly Balance Sheet'!X12</f>
        <v>-5280.0452835065953</v>
      </c>
      <c r="Z13" s="1">
        <f>'Monthly Balance Sheet'!Z12-'Monthly Balance Sheet'!Y12</f>
        <v>4776.2672994766908</v>
      </c>
      <c r="AA13" s="1">
        <f>'Monthly Balance Sheet'!AA12-'Monthly Balance Sheet'!Z12</f>
        <v>4714.0132387974591</v>
      </c>
      <c r="AB13" s="1">
        <f>'Monthly Balance Sheet'!AB12-'Monthly Balance Sheet'!AA12</f>
        <v>4777.8567319226277</v>
      </c>
      <c r="AC13" s="1">
        <f>'Monthly Balance Sheet'!AC12-'Monthly Balance Sheet'!AB12</f>
        <v>4892.2397993278864</v>
      </c>
      <c r="AD13" s="1">
        <f>'Monthly Balance Sheet'!AD12-'Monthly Balance Sheet'!AC12</f>
        <v>4928.7403822386987</v>
      </c>
      <c r="AE13" s="1">
        <f>'Monthly Balance Sheet'!AE12-'Monthly Balance Sheet'!AD12</f>
        <v>5006.5418245444889</v>
      </c>
      <c r="AF13" s="1">
        <f>'Monthly Balance Sheet'!AF12-'Monthly Balance Sheet'!AE12</f>
        <v>5048.4088757482241</v>
      </c>
      <c r="AG13" s="1">
        <f>'Monthly Balance Sheet'!AG12-'Monthly Balance Sheet'!AF12</f>
        <v>5313.9138646875508</v>
      </c>
      <c r="AH13" s="1">
        <f>'Monthly Balance Sheet'!AH12-'Monthly Balance Sheet'!AG12</f>
        <v>5410.129096297489</v>
      </c>
      <c r="AI13" s="1">
        <f>'Monthly Balance Sheet'!AI12-'Monthly Balance Sheet'!AH12</f>
        <v>5645.0707844153221</v>
      </c>
      <c r="AJ13" s="1">
        <f>'Monthly Balance Sheet'!AJ12-'Monthly Balance Sheet'!AI12</f>
        <v>5936.193028083042</v>
      </c>
      <c r="AK13" s="1">
        <f>'Monthly Balance Sheet'!AK12-'Monthly Balance Sheet'!AJ12</f>
        <v>6093.003316895687</v>
      </c>
      <c r="AL13" s="1">
        <f>'Monthly Balance Sheet'!AL12-'Monthly Balance Sheet'!AK12</f>
        <v>6545.6718758814095</v>
      </c>
      <c r="AM13" s="1">
        <f>'Monthly Balance Sheet'!AM12-'Monthly Balance Sheet'!AL12</f>
        <v>6807.9337395567272</v>
      </c>
      <c r="AN13" s="1">
        <f>'Monthly Balance Sheet'!AN12-'Monthly Balance Sheet'!AM12</f>
        <v>7231.4299221126421</v>
      </c>
      <c r="AO13" s="1">
        <f>'Monthly Balance Sheet'!AO12-'Monthly Balance Sheet'!AN12</f>
        <v>7714.4920079092844</v>
      </c>
      <c r="AP13" s="1">
        <f>'Monthly Balance Sheet'!AP12-'Monthly Balance Sheet'!AO12</f>
        <v>8257.6707773648959</v>
      </c>
      <c r="AQ13" s="1">
        <f>'Monthly Balance Sheet'!AQ12-'Monthly Balance Sheet'!AP12</f>
        <v>8969.7424670433393</v>
      </c>
      <c r="AR13" s="1">
        <f>'Monthly Balance Sheet'!AR12-'Monthly Balance Sheet'!AQ12</f>
        <v>9483.8494766008225</v>
      </c>
      <c r="AS13" s="1">
        <f>'Monthly Balance Sheet'!AS12-'Monthly Balance Sheet'!AR12</f>
        <v>10278.500515864172</v>
      </c>
      <c r="AT13" s="1">
        <f>'Monthly Balance Sheet'!AT12-'Monthly Balance Sheet'!AS12</f>
        <v>11257.241425492335</v>
      </c>
      <c r="AU13" s="1">
        <f>'Monthly Balance Sheet'!AU12-'Monthly Balance Sheet'!AT12</f>
        <v>12078.791505002766</v>
      </c>
      <c r="AV13" s="1">
        <f>'Monthly Balance Sheet'!AV12-'Monthly Balance Sheet'!AU12</f>
        <v>13203.512449464295</v>
      </c>
      <c r="AW13" s="1">
        <f>'Monthly Balance Sheet'!AW12-'Monthly Balance Sheet'!AV12</f>
        <v>14407.499120874971</v>
      </c>
      <c r="AX13" s="1">
        <f>'Monthly Balance Sheet'!AX12-'Monthly Balance Sheet'!AW12</f>
        <v>15692.046198231925</v>
      </c>
      <c r="AY13" s="1">
        <f>'Monthly Balance Sheet'!AY12-'Monthly Balance Sheet'!AX12</f>
        <v>17185.273242703755</v>
      </c>
      <c r="AZ13" s="1">
        <f>'Monthly Balance Sheet'!AZ12-'Monthly Balance Sheet'!AY12</f>
        <v>18859.354652222246</v>
      </c>
      <c r="BA13" s="1">
        <f>'Monthly Balance Sheet'!BA12-'Monthly Balance Sheet'!AZ12</f>
        <v>20626.04991961678</v>
      </c>
      <c r="BB13" s="1">
        <f>'Monthly Balance Sheet'!BB12-'Monthly Balance Sheet'!BA12</f>
        <v>22801.214811808313</v>
      </c>
      <c r="BC13" s="1">
        <f>'Monthly Balance Sheet'!BC12-'Monthly Balance Sheet'!BB12</f>
        <v>25133.752088388661</v>
      </c>
      <c r="BD13" s="1">
        <f>'Monthly Balance Sheet'!BD12-'Monthly Balance Sheet'!BC12</f>
        <v>27581.225362211233</v>
      </c>
      <c r="BE13" s="1">
        <f>'Monthly Balance Sheet'!BE12-'Monthly Balance Sheet'!BD12</f>
        <v>42466.776955347857</v>
      </c>
      <c r="BF13" s="1">
        <f>'Monthly Balance Sheet'!BF12-'Monthly Balance Sheet'!BE12</f>
        <v>23779.716697799158</v>
      </c>
      <c r="BG13" s="1">
        <f>'Monthly Balance Sheet'!BG12-'Monthly Balance Sheet'!BF12</f>
        <v>37282.110868563061</v>
      </c>
      <c r="BH13" s="1">
        <f>'Monthly Balance Sheet'!BH12-'Monthly Balance Sheet'!BG12</f>
        <v>41224.401516844751</v>
      </c>
      <c r="BI13" s="1">
        <f>'Monthly Balance Sheet'!BI12-'Monthly Balance Sheet'!BH12</f>
        <v>45577.802549605258</v>
      </c>
      <c r="BJ13" s="1">
        <f>'Monthly Balance Sheet'!BJ12-'Monthly Balance Sheet'!BI12</f>
        <v>50651.843939802377</v>
      </c>
    </row>
    <row r="14" spans="1:62" x14ac:dyDescent="0.2">
      <c r="B14" s="26" t="s">
        <v>126</v>
      </c>
      <c r="C14" s="64">
        <f>'Monthly Balance Sheet'!B6-'Monthly Balance Sheet'!C6</f>
        <v>-3452</v>
      </c>
      <c r="D14" s="64">
        <f>'Monthly Balance Sheet'!C6-'Monthly Balance Sheet'!D6</f>
        <v>-524</v>
      </c>
      <c r="E14" s="64">
        <f>'Monthly Balance Sheet'!D6-'Monthly Balance Sheet'!E6</f>
        <v>-476</v>
      </c>
      <c r="F14" s="64">
        <f>'Monthly Balance Sheet'!E6-'Monthly Balance Sheet'!F6</f>
        <v>-419</v>
      </c>
      <c r="G14" s="64">
        <f>'Monthly Balance Sheet'!F6-'Monthly Balance Sheet'!G6</f>
        <v>-13864</v>
      </c>
      <c r="H14" s="1">
        <f>'Monthly Balance Sheet'!G6-'Monthly Balance Sheet'!H6</f>
        <v>-1702.1483746656013</v>
      </c>
      <c r="I14" s="1">
        <f>'Monthly Balance Sheet'!H6-'Monthly Balance Sheet'!I6</f>
        <v>-3711.9222363813969</v>
      </c>
      <c r="J14" s="1">
        <f>'Monthly Balance Sheet'!I6-'Monthly Balance Sheet'!J6</f>
        <v>-3593.4459816097587</v>
      </c>
      <c r="K14" s="1">
        <f>'Monthly Balance Sheet'!J6-'Monthly Balance Sheet'!K6</f>
        <v>-3554.2670969989122</v>
      </c>
      <c r="L14" s="1">
        <f>'Monthly Balance Sheet'!K6-'Monthly Balance Sheet'!L6</f>
        <v>-3453.5658466955938</v>
      </c>
      <c r="M14" s="1">
        <f>'Monthly Balance Sheet'!L6-'Monthly Balance Sheet'!M6</f>
        <v>-3389.4351543554076</v>
      </c>
      <c r="N14" s="1">
        <f>'Monthly Balance Sheet'!M6-'Monthly Balance Sheet'!N6</f>
        <v>-3286.2880179510685</v>
      </c>
      <c r="O14" s="1">
        <f>'Monthly Balance Sheet'!N6-'Monthly Balance Sheet'!O6</f>
        <v>-3240.9785632189523</v>
      </c>
      <c r="P14" s="1">
        <f>'Monthly Balance Sheet'!O6-'Monthly Balance Sheet'!P6</f>
        <v>-3162.8200849258574</v>
      </c>
      <c r="Q14" s="1">
        <f>'Monthly Balance Sheet'!P6-'Monthly Balance Sheet'!Q6</f>
        <v>-3147.8385441964783</v>
      </c>
      <c r="R14" s="1">
        <f>'Monthly Balance Sheet'!Q6-'Monthly Balance Sheet'!R6</f>
        <v>-3038.3167513153312</v>
      </c>
      <c r="S14" s="1">
        <f>'Monthly Balance Sheet'!R6-'Monthly Balance Sheet'!S6</f>
        <v>-3015.8861799727601</v>
      </c>
      <c r="T14" s="1">
        <f>'Monthly Balance Sheet'!S6-'Monthly Balance Sheet'!T6</f>
        <v>-2928.8561735348994</v>
      </c>
      <c r="U14" s="1">
        <f>'Monthly Balance Sheet'!T6-'Monthly Balance Sheet'!U6</f>
        <v>-2965.522703473609</v>
      </c>
      <c r="V14" s="1">
        <f>'Monthly Balance Sheet'!U6-'Monthly Balance Sheet'!V6</f>
        <v>-2952.8653756651693</v>
      </c>
      <c r="W14" s="1">
        <f>'Monthly Balance Sheet'!V6-'Monthly Balance Sheet'!W6</f>
        <v>-2928.8860895287507</v>
      </c>
      <c r="X14" s="1">
        <f>'Monthly Balance Sheet'!W6-'Monthly Balance Sheet'!X6</f>
        <v>-2723.8274063661956</v>
      </c>
      <c r="Y14" s="1">
        <f>'Monthly Balance Sheet'!X6-'Monthly Balance Sheet'!Y6</f>
        <v>-2685.2080588459794</v>
      </c>
      <c r="Z14" s="1">
        <f>'Monthly Balance Sheet'!Y6-'Monthly Balance Sheet'!Z6</f>
        <v>-2714.2270878121199</v>
      </c>
      <c r="AA14" s="1">
        <f>'Monthly Balance Sheet'!Z6-'Monthly Balance Sheet'!AA6</f>
        <v>-2678.02574477093</v>
      </c>
      <c r="AB14" s="1">
        <f>'Monthly Balance Sheet'!AA6-'Monthly Balance Sheet'!AB6</f>
        <v>-2711.2101464080333</v>
      </c>
      <c r="AC14" s="1">
        <f>'Monthly Balance Sheet'!AB6-'Monthly Balance Sheet'!AC6</f>
        <v>-2773.3144241593836</v>
      </c>
      <c r="AD14" s="1">
        <f>'Monthly Balance Sheet'!AC6-'Monthly Balance Sheet'!AD6</f>
        <v>-2793.7813242715783</v>
      </c>
      <c r="AE14" s="1">
        <f>'Monthly Balance Sheet'!AD6-'Monthly Balance Sheet'!AE6</f>
        <v>-2834.6977185577998</v>
      </c>
      <c r="AF14" s="1">
        <f>'Monthly Balance Sheet'!AE6-'Monthly Balance Sheet'!AF6</f>
        <v>-2858.2288654248259</v>
      </c>
      <c r="AG14" s="1">
        <f>'Monthly Balance Sheet'!AF6-'Monthly Balance Sheet'!AG6</f>
        <v>-3003.4461736268568</v>
      </c>
      <c r="AH14" s="1">
        <f>'Monthly Balance Sheet'!AG6-'Monthly Balance Sheet'!AH6</f>
        <v>-3058.0964433062327</v>
      </c>
      <c r="AI14" s="1">
        <f>'Monthly Balance Sheet'!AH6-'Monthly Balance Sheet'!AI6</f>
        <v>-3188.9654001331364</v>
      </c>
      <c r="AJ14" s="1">
        <f>'Monthly Balance Sheet'!AI6-'Monthly Balance Sheet'!AJ6</f>
        <v>-3348.3132379158633</v>
      </c>
      <c r="AK14" s="1">
        <f>'Monthly Balance Sheet'!AJ6-'Monthly Balance Sheet'!AK6</f>
        <v>-3437.6348766044102</v>
      </c>
      <c r="AL14" s="1">
        <f>'Monthly Balance Sheet'!AK6-'Monthly Balance Sheet'!AL6</f>
        <v>-3685.6323186601221</v>
      </c>
      <c r="AM14" s="1">
        <f>'Monthly Balance Sheet'!AL6-'Monthly Balance Sheet'!AM6</f>
        <v>-3835.3564228326577</v>
      </c>
      <c r="AN14" s="1">
        <f>'Monthly Balance Sheet'!AM6-'Monthly Balance Sheet'!AN6</f>
        <v>-4069.9088324526092</v>
      </c>
      <c r="AO14" s="1">
        <f>'Monthly Balance Sheet'!AN6-'Monthly Balance Sheet'!AO6</f>
        <v>-4338.3732477606536</v>
      </c>
      <c r="AP14" s="1">
        <f>'Monthly Balance Sheet'!AO6-'Monthly Balance Sheet'!AP6</f>
        <v>-4641.0731718284806</v>
      </c>
      <c r="AQ14" s="1">
        <f>'Monthly Balance Sheet'!AP6-'Monthly Balance Sheet'!AQ6</f>
        <v>-5036.3076379534614</v>
      </c>
      <c r="AR14" s="1">
        <f>'Monthly Balance Sheet'!AQ6-'Monthly Balance Sheet'!AR6</f>
        <v>-5325.8071753174008</v>
      </c>
      <c r="AS14" s="1">
        <f>'Monthly Balance Sheet'!AR6-'Monthly Balance Sheet'!AS6</f>
        <v>-5767.7121428536193</v>
      </c>
      <c r="AT14" s="1">
        <f>'Monthly Balance Sheet'!AS6-'Monthly Balance Sheet'!AT6</f>
        <v>-6310.3877216890105</v>
      </c>
      <c r="AU14" s="1">
        <f>'Monthly Balance Sheet'!AT6-'Monthly Balance Sheet'!AU6</f>
        <v>-6771.0431040978292</v>
      </c>
      <c r="AV14" s="1">
        <f>'Monthly Balance Sheet'!AU6-'Monthly Balance Sheet'!AV6</f>
        <v>-7396.3425795815419</v>
      </c>
      <c r="AW14" s="1">
        <f>'Monthly Balance Sheet'!AV6-'Monthly Balance Sheet'!AW6</f>
        <v>-8066.3831152106577</v>
      </c>
      <c r="AX14" s="1">
        <f>'Monthly Balance Sheet'!AW6-'Monthly Balance Sheet'!AX6</f>
        <v>-8781.9090519769816</v>
      </c>
      <c r="AY14" s="1">
        <f>'Monthly Balance Sheet'!AX6-'Monthly Balance Sheet'!AY6</f>
        <v>-9611.6117083311547</v>
      </c>
      <c r="AZ14" s="1">
        <f>'Monthly Balance Sheet'!AY6-'Monthly Balance Sheet'!AZ6</f>
        <v>-10544.180470629246</v>
      </c>
      <c r="BA14" s="1">
        <f>'Monthly Balance Sheet'!AZ6-'Monthly Balance Sheet'!BA6</f>
        <v>-11528.881429222878</v>
      </c>
      <c r="BB14" s="1">
        <f>'Monthly Balance Sheet'!BA6-'Monthly Balance Sheet'!BB6</f>
        <v>-12736.759859740705</v>
      </c>
      <c r="BC14" s="1">
        <f>'Monthly Balance Sheet'!BB6-'Monthly Balance Sheet'!BC6</f>
        <v>-14033.383518062707</v>
      </c>
      <c r="BD14" s="1">
        <f>'Monthly Balance Sheet'!BC6-'Monthly Balance Sheet'!BD6</f>
        <v>-15394.341287178948</v>
      </c>
      <c r="BE14" s="1">
        <f>'Monthly Balance Sheet'!BD6-'Monthly Balance Sheet'!BE6</f>
        <v>-17051.71489970875</v>
      </c>
      <c r="BF14" s="1">
        <f>'Monthly Balance Sheet'!BE6-'Monthly Balance Sheet'!BF6</f>
        <v>-18837.411881461681</v>
      </c>
      <c r="BG14" s="1">
        <f>'Monthly Balance Sheet'!BF6-'Monthly Balance Sheet'!BG6</f>
        <v>-20781.264805022511</v>
      </c>
      <c r="BH14" s="1">
        <f>'Monthly Balance Sheet'!BG6-'Monthly Balance Sheet'!BH6</f>
        <v>-22969.296334092855</v>
      </c>
      <c r="BI14" s="1">
        <f>'Monthly Balance Sheet'!BH6-'Monthly Balance Sheet'!BI6</f>
        <v>-25384.470053445431</v>
      </c>
      <c r="BJ14" s="1">
        <f>'Monthly Balance Sheet'!BI6-'Monthly Balance Sheet'!BJ6</f>
        <v>-28198.064330508816</v>
      </c>
    </row>
    <row r="15" spans="1:62" x14ac:dyDescent="0.2">
      <c r="B15" s="26" t="s">
        <v>127</v>
      </c>
      <c r="C15" s="64"/>
      <c r="D15" s="64"/>
      <c r="E15" s="64"/>
      <c r="F15" s="64"/>
      <c r="G15" s="6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x14ac:dyDescent="0.2">
      <c r="B16" s="26" t="s">
        <v>128</v>
      </c>
      <c r="C16" s="64"/>
      <c r="D16" s="64"/>
      <c r="E16" s="64"/>
      <c r="F16" s="64"/>
      <c r="G16" s="6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2:62" x14ac:dyDescent="0.2">
      <c r="B17" s="26" t="s">
        <v>129</v>
      </c>
      <c r="C17" s="64"/>
      <c r="D17" s="64"/>
      <c r="E17" s="64"/>
      <c r="F17" s="64"/>
      <c r="G17" s="6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2:62" x14ac:dyDescent="0.2">
      <c r="B18" s="27" t="s">
        <v>130</v>
      </c>
      <c r="C18" s="63">
        <f t="shared" ref="C18:G18" si="47">SUM(C11:C17)</f>
        <v>-32661.921666666669</v>
      </c>
      <c r="D18" s="63">
        <f t="shared" si="47"/>
        <v>-42626.182166666673</v>
      </c>
      <c r="E18" s="63">
        <f t="shared" si="47"/>
        <v>-48683.581666666665</v>
      </c>
      <c r="F18" s="63">
        <f t="shared" si="47"/>
        <v>-85077.842333333349</v>
      </c>
      <c r="G18" s="63">
        <f t="shared" si="47"/>
        <v>-107884.48733333334</v>
      </c>
      <c r="H18" s="5">
        <f t="shared" ref="H18:P18" si="48">SUM(H11:H17)</f>
        <v>-99939.751890923872</v>
      </c>
      <c r="I18" s="5">
        <f t="shared" si="48"/>
        <v>-108332.00739173981</v>
      </c>
      <c r="J18" s="5">
        <f t="shared" si="48"/>
        <v>-111693.43871879717</v>
      </c>
      <c r="K18" s="5">
        <f t="shared" si="48"/>
        <v>-114930.43163294696</v>
      </c>
      <c r="L18" s="5">
        <f t="shared" si="48"/>
        <v>-118106.50870770391</v>
      </c>
      <c r="M18" s="5">
        <f t="shared" si="48"/>
        <v>-121170.66269962244</v>
      </c>
      <c r="N18" s="5">
        <f t="shared" si="48"/>
        <v>-124155.11605654047</v>
      </c>
      <c r="O18" s="5">
        <f t="shared" si="48"/>
        <v>-131489.84972339513</v>
      </c>
      <c r="P18" s="5">
        <f t="shared" si="48"/>
        <v>-151201.51561884978</v>
      </c>
      <c r="Q18" s="5">
        <f t="shared" ref="Q18" si="49">SUM(Q11:Q17)</f>
        <v>-143938.40209795887</v>
      </c>
      <c r="R18" s="5">
        <f t="shared" ref="R18" si="50">SUM(R11:R17)</f>
        <v>-146639.11003750574</v>
      </c>
      <c r="S18" s="5">
        <f t="shared" ref="S18" si="51">SUM(S11:S17)</f>
        <v>-149224.59158979423</v>
      </c>
      <c r="T18" s="5">
        <f t="shared" ref="T18" si="52">SUM(T11:T17)</f>
        <v>-151785.5829120329</v>
      </c>
      <c r="U18" s="5">
        <f t="shared" ref="U18" si="53">SUM(U11:U17)</f>
        <v>-154264.3891155223</v>
      </c>
      <c r="V18" s="5">
        <f t="shared" ref="V18" si="54">SUM(V11:V17)</f>
        <v>-156756.97187652162</v>
      </c>
      <c r="W18" s="5">
        <f t="shared" ref="W18" si="55">SUM(W11:W17)</f>
        <v>-159227.479382349</v>
      </c>
      <c r="X18" s="5">
        <f t="shared" ref="X18" si="56">SUM(X11:X17)</f>
        <v>-159699.4526478331</v>
      </c>
      <c r="Y18" s="5">
        <f t="shared" ref="Y18" si="57">SUM(Y11:Y17)</f>
        <v>-178987.35165489756</v>
      </c>
      <c r="Z18" s="5">
        <f t="shared" ref="Z18" si="58">SUM(Z11:Z17)</f>
        <v>-171348.19175061877</v>
      </c>
      <c r="AA18" s="5">
        <f t="shared" ref="AA18:AB18" si="59">SUM(AA11:AA17)</f>
        <v>-173731.25108765555</v>
      </c>
      <c r="AB18" s="5">
        <f t="shared" si="59"/>
        <v>-176089.52036212879</v>
      </c>
      <c r="AC18" s="5">
        <f t="shared" ref="AC18" si="60">SUM(AC11:AC17)</f>
        <v>-178483.36147213884</v>
      </c>
      <c r="AD18" s="5">
        <f t="shared" ref="AD18" si="61">SUM(AD11:AD17)</f>
        <v>-180931.69798045955</v>
      </c>
      <c r="AE18" s="5">
        <f t="shared" ref="AE18" si="62">SUM(AE11:AE17)</f>
        <v>-183398.08384471224</v>
      </c>
      <c r="AF18" s="5">
        <f t="shared" ref="AF18" si="63">SUM(AF11:AF17)</f>
        <v>-185903.95237824961</v>
      </c>
      <c r="AG18" s="5">
        <f t="shared" ref="AG18" si="64">SUM(AG11:AG17)</f>
        <v>-188440.62162985612</v>
      </c>
      <c r="AH18" s="5">
        <f t="shared" ref="AH18" si="65">SUM(AH11:AH17)</f>
        <v>-191104.12121607433</v>
      </c>
      <c r="AI18" s="5">
        <f t="shared" ref="AI18" si="66">SUM(AI11:AI17)</f>
        <v>-193822.58387699103</v>
      </c>
      <c r="AJ18" s="5">
        <f t="shared" ref="AJ18" si="67">SUM(AJ11:AJ17)</f>
        <v>-196658.90598514755</v>
      </c>
      <c r="AK18" s="5">
        <f t="shared" ref="AK18" si="68">SUM(AK11:AK17)</f>
        <v>-199637.91899347131</v>
      </c>
      <c r="AL18" s="5">
        <f t="shared" ref="AL18" si="69">SUM(AL11:AL17)</f>
        <v>-202706.083814482</v>
      </c>
      <c r="AM18" s="5">
        <f t="shared" ref="AM18:AN18" si="70">SUM(AM11:AM17)</f>
        <v>-205997.51292475761</v>
      </c>
      <c r="AN18" s="5">
        <f t="shared" si="70"/>
        <v>-209424.28411287794</v>
      </c>
      <c r="AO18" s="5">
        <f t="shared" ref="AO18" si="71">SUM(AO11:AO17)</f>
        <v>-213066.932446344</v>
      </c>
      <c r="AP18" s="5">
        <f t="shared" ref="AP18" si="72">SUM(AP11:AP17)</f>
        <v>-216955.28898963868</v>
      </c>
      <c r="AQ18" s="5">
        <f t="shared" ref="AQ18" si="73">SUM(AQ11:AQ17)</f>
        <v>-221123.32299960687</v>
      </c>
      <c r="AR18" s="5">
        <f t="shared" ref="AR18" si="74">SUM(AR11:AR17)</f>
        <v>-225640.64026571371</v>
      </c>
      <c r="AS18" s="5">
        <f t="shared" ref="AS18" si="75">SUM(AS11:AS17)</f>
        <v>-230427.14445191869</v>
      </c>
      <c r="AT18" s="5">
        <f t="shared" ref="AT18" si="76">SUM(AT11:AT17)</f>
        <v>-235619.69983387209</v>
      </c>
      <c r="AU18" s="5">
        <f t="shared" ref="AU18" si="77">SUM(AU11:AU17)</f>
        <v>-241298.20088927186</v>
      </c>
      <c r="AV18" s="5">
        <f t="shared" ref="AV18" si="78">SUM(AV11:AV17)</f>
        <v>-247400.53564502619</v>
      </c>
      <c r="AW18" s="5">
        <f t="shared" ref="AW18" si="79">SUM(AW11:AW17)</f>
        <v>-254070.33906968209</v>
      </c>
      <c r="AX18" s="5">
        <f t="shared" ref="AX18" si="80">SUM(AX11:AX17)</f>
        <v>-261347.34102820745</v>
      </c>
      <c r="AY18" s="5">
        <f t="shared" ref="AY18:AZ18" si="81">SUM(AY11:AY17)</f>
        <v>-269276.45326144167</v>
      </c>
      <c r="AZ18" s="5">
        <f t="shared" si="81"/>
        <v>-277964.61794033239</v>
      </c>
      <c r="BA18" s="5">
        <f t="shared" ref="BA18" si="82">SUM(BA11:BA17)</f>
        <v>-287495.64859133988</v>
      </c>
      <c r="BB18" s="5">
        <f t="shared" ref="BB18" si="83">SUM(BB11:BB17)</f>
        <v>-297928.96953557036</v>
      </c>
      <c r="BC18" s="5">
        <f t="shared" ref="BC18" si="84">SUM(BC11:BC17)</f>
        <v>-309459.93196150631</v>
      </c>
      <c r="BD18" s="5">
        <f t="shared" ref="BD18" si="85">SUM(BD11:BD17)</f>
        <v>-322164.02913790557</v>
      </c>
      <c r="BE18" s="5">
        <f t="shared" ref="BE18" si="86">SUM(BE11:BE17)</f>
        <v>-334335.90630163933</v>
      </c>
      <c r="BF18" s="5">
        <f t="shared" ref="BF18" si="87">SUM(BF11:BF17)</f>
        <v>-366698.52188984054</v>
      </c>
      <c r="BG18" s="5">
        <f t="shared" ref="BG18" si="88">SUM(BG11:BG17)</f>
        <v>-373781.036076919</v>
      </c>
      <c r="BH18" s="5">
        <f t="shared" ref="BH18" si="89">SUM(BH11:BH17)</f>
        <v>-392638.97771613003</v>
      </c>
      <c r="BI18" s="5">
        <f t="shared" ref="BI18" si="90">SUM(BI11:BI17)</f>
        <v>-413489.65167752473</v>
      </c>
      <c r="BJ18" s="5">
        <f t="shared" ref="BJ18" si="91">SUM(BJ11:BJ17)</f>
        <v>-436555.12653429218</v>
      </c>
    </row>
    <row r="19" spans="2:62" x14ac:dyDescent="0.2">
      <c r="C19" s="64"/>
      <c r="D19" s="64"/>
      <c r="E19" s="64"/>
      <c r="F19" s="64"/>
      <c r="G19" s="6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2:62" x14ac:dyDescent="0.2">
      <c r="B20" s="28" t="s">
        <v>131</v>
      </c>
      <c r="C20" s="64">
        <f t="shared" ref="C20:G20" si="92">C9+C18</f>
        <v>-32604.657921666669</v>
      </c>
      <c r="D20" s="64">
        <f t="shared" si="92"/>
        <v>-39027.790442666672</v>
      </c>
      <c r="E20" s="64">
        <f t="shared" si="92"/>
        <v>-44786.061886866664</v>
      </c>
      <c r="F20" s="64">
        <f t="shared" si="92"/>
        <v>-80712.984428533353</v>
      </c>
      <c r="G20" s="64">
        <f t="shared" si="92"/>
        <v>-102968.19126933333</v>
      </c>
      <c r="H20" s="1">
        <f t="shared" ref="H20:P20" si="93">H9+H18</f>
        <v>-77483.751890923872</v>
      </c>
      <c r="I20" s="1">
        <f t="shared" si="93"/>
        <v>-81082.476225519014</v>
      </c>
      <c r="J20" s="1">
        <f t="shared" si="93"/>
        <v>-79494.677904067852</v>
      </c>
      <c r="K20" s="1">
        <f t="shared" si="93"/>
        <v>-77940.409509404621</v>
      </c>
      <c r="L20" s="1">
        <f t="shared" si="93"/>
        <v>-76377.463788163004</v>
      </c>
      <c r="M20" s="1">
        <f t="shared" si="93"/>
        <v>-74836.863317820753</v>
      </c>
      <c r="N20" s="1">
        <f t="shared" si="93"/>
        <v>-73302.069802264916</v>
      </c>
      <c r="O20" s="1">
        <f t="shared" si="93"/>
        <v>-76255.086111851473</v>
      </c>
      <c r="P20" s="1">
        <f t="shared" si="93"/>
        <v>-91645.447256347514</v>
      </c>
      <c r="Q20" s="1">
        <f t="shared" ref="Q20:BJ20" si="94">Q9+Q18</f>
        <v>-80165.240288888803</v>
      </c>
      <c r="R20" s="1">
        <f t="shared" si="94"/>
        <v>-78668.83016950704</v>
      </c>
      <c r="S20" s="1">
        <f t="shared" si="94"/>
        <v>-77203.222720041755</v>
      </c>
      <c r="T20" s="1">
        <f t="shared" si="94"/>
        <v>-75743.032468983409</v>
      </c>
      <c r="U20" s="1">
        <f t="shared" si="94"/>
        <v>-74316.69710775961</v>
      </c>
      <c r="V20" s="1">
        <f t="shared" si="94"/>
        <v>-72855.249597460788</v>
      </c>
      <c r="W20" s="1">
        <f t="shared" si="94"/>
        <v>-71388.603269067942</v>
      </c>
      <c r="X20" s="1">
        <f t="shared" si="94"/>
        <v>-67955.395081847033</v>
      </c>
      <c r="Y20" s="1">
        <f t="shared" si="94"/>
        <v>-83611.524213756566</v>
      </c>
      <c r="Z20" s="1">
        <f t="shared" si="94"/>
        <v>-72392.086897683141</v>
      </c>
      <c r="AA20" s="1">
        <f t="shared" si="94"/>
        <v>-71156.176784303752</v>
      </c>
      <c r="AB20" s="1">
        <f t="shared" si="94"/>
        <v>-69943.745065749099</v>
      </c>
      <c r="AC20" s="1">
        <f t="shared" si="94"/>
        <v>-68722.63931388178</v>
      </c>
      <c r="AD20" s="1">
        <f t="shared" si="94"/>
        <v>-67473.223256656624</v>
      </c>
      <c r="AE20" s="1">
        <f t="shared" si="94"/>
        <v>-66214.567355213876</v>
      </c>
      <c r="AF20" s="1">
        <f t="shared" si="94"/>
        <v>-64940.838930674188</v>
      </c>
      <c r="AG20" s="1">
        <f t="shared" si="94"/>
        <v>-63666.536361714258</v>
      </c>
      <c r="AH20" s="1">
        <f t="shared" si="94"/>
        <v>-62325.441049763336</v>
      </c>
      <c r="AI20" s="1">
        <f t="shared" si="94"/>
        <v>-60966.441786271724</v>
      </c>
      <c r="AJ20" s="1">
        <f t="shared" si="94"/>
        <v>-59550.810027584055</v>
      </c>
      <c r="AK20" s="1">
        <f t="shared" si="94"/>
        <v>-58065.405385353341</v>
      </c>
      <c r="AL20" s="1">
        <f t="shared" si="94"/>
        <v>-56550.057037558145</v>
      </c>
      <c r="AM20" s="1">
        <f t="shared" si="94"/>
        <v>-54927.309722953592</v>
      </c>
      <c r="AN20" s="1">
        <f t="shared" si="94"/>
        <v>-53240.272347297054</v>
      </c>
      <c r="AO20" s="1">
        <f t="shared" si="94"/>
        <v>-51456.375570826291</v>
      </c>
      <c r="AP20" s="1">
        <f t="shared" si="94"/>
        <v>-49560.234450440097</v>
      </c>
      <c r="AQ20" s="1">
        <f t="shared" si="94"/>
        <v>-47540.170897970325</v>
      </c>
      <c r="AR20" s="1">
        <f t="shared" si="94"/>
        <v>-45342.411313472548</v>
      </c>
      <c r="AS20" s="1">
        <f t="shared" si="94"/>
        <v>-43027.839265920979</v>
      </c>
      <c r="AT20" s="1">
        <f t="shared" si="94"/>
        <v>-40530.111790736235</v>
      </c>
      <c r="AU20" s="1">
        <f t="shared" si="94"/>
        <v>-37794.762550550658</v>
      </c>
      <c r="AV20" s="1">
        <f t="shared" si="94"/>
        <v>-34869.039834174531</v>
      </c>
      <c r="AW20" s="1">
        <f t="shared" si="94"/>
        <v>-31677.053152721724</v>
      </c>
      <c r="AX20" s="1">
        <f t="shared" si="94"/>
        <v>-28198.877624299552</v>
      </c>
      <c r="AY20" s="1">
        <f t="shared" si="94"/>
        <v>-24418.77778823112</v>
      </c>
      <c r="AZ20" s="1">
        <f t="shared" si="94"/>
        <v>-20291.460189346981</v>
      </c>
      <c r="BA20" s="1">
        <f t="shared" si="94"/>
        <v>-15763.583546182141</v>
      </c>
      <c r="BB20" s="1">
        <f t="shared" si="94"/>
        <v>-10825.062584782077</v>
      </c>
      <c r="BC20" s="1">
        <f t="shared" si="94"/>
        <v>-5373.6785310637788</v>
      </c>
      <c r="BD20" s="1">
        <f t="shared" si="94"/>
        <v>633.4023166205734</v>
      </c>
      <c r="BE20" s="1">
        <f t="shared" si="94"/>
        <v>8987.3135357920546</v>
      </c>
      <c r="BF20" s="1">
        <f t="shared" si="94"/>
        <v>-639.68218613078352</v>
      </c>
      <c r="BG20" s="1">
        <f t="shared" si="94"/>
        <v>17394.352802073001</v>
      </c>
      <c r="BH20" s="1">
        <f t="shared" si="94"/>
        <v>26244.764236225339</v>
      </c>
      <c r="BI20" s="1">
        <f t="shared" si="94"/>
        <v>36019.818720287702</v>
      </c>
      <c r="BJ20" s="1">
        <f t="shared" si="94"/>
        <v>46800.303934780881</v>
      </c>
    </row>
    <row r="21" spans="2:62" x14ac:dyDescent="0.2">
      <c r="B21" s="28"/>
      <c r="C21" s="64"/>
      <c r="D21" s="64"/>
      <c r="E21" s="64"/>
      <c r="F21" s="64"/>
      <c r="G21" s="6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2:62" x14ac:dyDescent="0.2">
      <c r="B22" s="26" t="s">
        <v>132</v>
      </c>
      <c r="C22" s="64">
        <f>'Monthly Income Statement'!C39</f>
        <v>1000000</v>
      </c>
      <c r="D22" s="64">
        <f>'Monthly Income Statement'!D39</f>
        <v>0</v>
      </c>
      <c r="E22" s="64">
        <f>'Monthly Income Statement'!E39</f>
        <v>0</v>
      </c>
      <c r="F22" s="64">
        <f>'Monthly Income Statement'!F39</f>
        <v>0</v>
      </c>
      <c r="G22" s="64">
        <f>'Monthly Income Statement'!G39</f>
        <v>0</v>
      </c>
      <c r="H22" s="1">
        <f>'Monthly Income Statement'!H39</f>
        <v>0</v>
      </c>
      <c r="I22" s="1">
        <f>'Monthly Income Statement'!I39</f>
        <v>0</v>
      </c>
      <c r="J22" s="1">
        <f>'Monthly Income Statement'!J39</f>
        <v>0</v>
      </c>
      <c r="K22" s="1">
        <f>'Monthly Income Statement'!K39</f>
        <v>0</v>
      </c>
      <c r="L22" s="1">
        <f>'Monthly Income Statement'!L39</f>
        <v>0</v>
      </c>
      <c r="M22" s="1">
        <f>'Monthly Income Statement'!M39</f>
        <v>0</v>
      </c>
      <c r="N22" s="1">
        <f>'Monthly Income Statement'!N39</f>
        <v>0</v>
      </c>
      <c r="O22" s="1">
        <f>'Monthly Income Statement'!O39</f>
        <v>2500000</v>
      </c>
      <c r="P22" s="1">
        <f>'Monthly Income Statement'!P39</f>
        <v>0</v>
      </c>
      <c r="Q22" s="1">
        <f>'Monthly Income Statement'!Q39</f>
        <v>0</v>
      </c>
      <c r="R22" s="1">
        <f>'Monthly Income Statement'!R39</f>
        <v>0</v>
      </c>
      <c r="S22" s="1">
        <f>'Monthly Income Statement'!S39</f>
        <v>0</v>
      </c>
      <c r="T22" s="1">
        <f>'Monthly Income Statement'!T39</f>
        <v>0</v>
      </c>
      <c r="U22" s="1">
        <f>'Monthly Income Statement'!U39</f>
        <v>0</v>
      </c>
      <c r="V22" s="1">
        <f>'Monthly Income Statement'!V39</f>
        <v>0</v>
      </c>
      <c r="W22" s="1">
        <f>'Monthly Income Statement'!W39</f>
        <v>0</v>
      </c>
      <c r="X22" s="1">
        <f>'Monthly Income Statement'!X39</f>
        <v>0</v>
      </c>
      <c r="Y22" s="1">
        <f>'Monthly Income Statement'!Y39</f>
        <v>0</v>
      </c>
      <c r="Z22" s="1">
        <f>'Monthly Income Statement'!Z39</f>
        <v>0</v>
      </c>
      <c r="AA22" s="1">
        <f>'Monthly Income Statement'!AA39</f>
        <v>0</v>
      </c>
      <c r="AB22" s="1">
        <f>'Monthly Income Statement'!AB39</f>
        <v>0</v>
      </c>
      <c r="AC22" s="1">
        <f>'Monthly Income Statement'!AC39</f>
        <v>0</v>
      </c>
      <c r="AD22" s="1">
        <f>'Monthly Income Statement'!AD39</f>
        <v>0</v>
      </c>
      <c r="AE22" s="1">
        <f>'Monthly Income Statement'!AE39</f>
        <v>0</v>
      </c>
      <c r="AF22" s="1">
        <f>'Monthly Income Statement'!AF39</f>
        <v>0</v>
      </c>
      <c r="AG22" s="1">
        <f>'Monthly Income Statement'!AG39</f>
        <v>0</v>
      </c>
      <c r="AH22" s="1">
        <f>'Monthly Income Statement'!AH39</f>
        <v>0</v>
      </c>
      <c r="AI22" s="1">
        <f>'Monthly Income Statement'!AI39</f>
        <v>0</v>
      </c>
      <c r="AJ22" s="1">
        <f>'Monthly Income Statement'!AJ39</f>
        <v>0</v>
      </c>
      <c r="AK22" s="1">
        <f>'Monthly Income Statement'!AK39</f>
        <v>0</v>
      </c>
      <c r="AL22" s="1">
        <f>'Monthly Income Statement'!AL39</f>
        <v>0</v>
      </c>
      <c r="AM22" s="1">
        <f>'Monthly Income Statement'!AM39</f>
        <v>0</v>
      </c>
      <c r="AN22" s="1">
        <f>'Monthly Income Statement'!AN39</f>
        <v>0</v>
      </c>
      <c r="AO22" s="1">
        <f>'Monthly Income Statement'!AO39</f>
        <v>0</v>
      </c>
      <c r="AP22" s="1">
        <f>'Monthly Income Statement'!AP39</f>
        <v>0</v>
      </c>
      <c r="AQ22" s="1">
        <f>'Monthly Income Statement'!AQ39</f>
        <v>0</v>
      </c>
      <c r="AR22" s="1">
        <f>'Monthly Income Statement'!AR39</f>
        <v>0</v>
      </c>
      <c r="AS22" s="1">
        <f>'Monthly Income Statement'!AS39</f>
        <v>0</v>
      </c>
      <c r="AT22" s="1">
        <f>'Monthly Income Statement'!AT39</f>
        <v>0</v>
      </c>
      <c r="AU22" s="1">
        <f>'Monthly Income Statement'!AU39</f>
        <v>0</v>
      </c>
      <c r="AV22" s="1">
        <f>'Monthly Income Statement'!AV39</f>
        <v>0</v>
      </c>
      <c r="AW22" s="1">
        <f>'Monthly Income Statement'!AW39</f>
        <v>0</v>
      </c>
      <c r="AX22" s="1">
        <f>'Monthly Income Statement'!AX39</f>
        <v>0</v>
      </c>
      <c r="AY22" s="1">
        <f>'Monthly Income Statement'!AY39</f>
        <v>0</v>
      </c>
      <c r="AZ22" s="1">
        <f>'Monthly Income Statement'!AZ39</f>
        <v>0</v>
      </c>
      <c r="BA22" s="1">
        <f>'Monthly Income Statement'!BA39</f>
        <v>0</v>
      </c>
      <c r="BB22" s="1">
        <f>'Monthly Income Statement'!BB39</f>
        <v>0</v>
      </c>
      <c r="BC22" s="1">
        <f>'Monthly Income Statement'!BC39</f>
        <v>0</v>
      </c>
      <c r="BD22" s="1">
        <f>'Monthly Income Statement'!BD39</f>
        <v>0</v>
      </c>
      <c r="BE22" s="1">
        <f>'Monthly Income Statement'!BE39</f>
        <v>0</v>
      </c>
      <c r="BF22" s="1">
        <f>'Monthly Income Statement'!BF39</f>
        <v>0</v>
      </c>
      <c r="BG22" s="1">
        <f>'Monthly Income Statement'!BG39</f>
        <v>0</v>
      </c>
      <c r="BH22" s="1">
        <f>'Monthly Income Statement'!BH39</f>
        <v>0</v>
      </c>
      <c r="BI22" s="1">
        <f>'Monthly Income Statement'!BI39</f>
        <v>0</v>
      </c>
      <c r="BJ22" s="1">
        <f>'Monthly Income Statement'!BJ39</f>
        <v>0</v>
      </c>
    </row>
    <row r="23" spans="2:62" x14ac:dyDescent="0.2">
      <c r="B23" s="26" t="s">
        <v>133</v>
      </c>
      <c r="C23" s="64"/>
      <c r="D23" s="64"/>
      <c r="E23" s="64"/>
      <c r="F23" s="64"/>
      <c r="G23" s="6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2:62" x14ac:dyDescent="0.2">
      <c r="B24" s="26" t="s">
        <v>134</v>
      </c>
      <c r="C24" s="64"/>
      <c r="D24" s="64"/>
      <c r="E24" s="64"/>
      <c r="F24" s="64"/>
      <c r="G24" s="6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2:62" x14ac:dyDescent="0.2">
      <c r="B25" s="26" t="s">
        <v>135</v>
      </c>
      <c r="C25" s="64"/>
      <c r="D25" s="64"/>
      <c r="E25" s="64"/>
      <c r="F25" s="64"/>
      <c r="G25" s="6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2:62" x14ac:dyDescent="0.2">
      <c r="B26" s="26"/>
      <c r="C26" s="64"/>
      <c r="D26" s="64"/>
      <c r="E26" s="64"/>
      <c r="F26" s="64"/>
      <c r="G26" s="6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2:62" s="51" customFormat="1" x14ac:dyDescent="0.2">
      <c r="B27" s="75" t="s">
        <v>136</v>
      </c>
      <c r="C27" s="74">
        <f t="shared" ref="C27:P27" si="95">C3+SUM(C20:C26)</f>
        <v>967395.34207833337</v>
      </c>
      <c r="D27" s="74">
        <f t="shared" si="95"/>
        <v>928367.55163566675</v>
      </c>
      <c r="E27" s="74">
        <f t="shared" si="95"/>
        <v>883581.48974880006</v>
      </c>
      <c r="F27" s="74">
        <f t="shared" si="95"/>
        <v>802868.5053202667</v>
      </c>
      <c r="G27" s="74">
        <f t="shared" si="95"/>
        <v>699900.31405093335</v>
      </c>
      <c r="H27" s="74">
        <f t="shared" si="95"/>
        <v>622416.56216000952</v>
      </c>
      <c r="I27" s="74">
        <f t="shared" si="95"/>
        <v>541334.08593449055</v>
      </c>
      <c r="J27" s="74">
        <f t="shared" si="95"/>
        <v>461839.4080304227</v>
      </c>
      <c r="K27" s="74">
        <f t="shared" si="95"/>
        <v>383898.99852101807</v>
      </c>
      <c r="L27" s="74">
        <f t="shared" si="95"/>
        <v>307521.53473285504</v>
      </c>
      <c r="M27" s="74">
        <f t="shared" si="95"/>
        <v>232684.67141503427</v>
      </c>
      <c r="N27" s="74">
        <f t="shared" si="95"/>
        <v>159382.60161276936</v>
      </c>
      <c r="O27" s="74">
        <f t="shared" si="95"/>
        <v>2583127.515500918</v>
      </c>
      <c r="P27" s="74">
        <f t="shared" si="95"/>
        <v>2491482.0682445704</v>
      </c>
      <c r="Q27" s="74">
        <f t="shared" ref="Q27" si="96">Q3+SUM(Q20:Q26)</f>
        <v>2411316.8279556818</v>
      </c>
      <c r="R27" s="74">
        <f t="shared" ref="R27" si="97">R3+SUM(R20:R26)</f>
        <v>2332647.997786175</v>
      </c>
      <c r="S27" s="74">
        <f t="shared" ref="S27" si="98">S3+SUM(S20:S26)</f>
        <v>2255444.7750661331</v>
      </c>
      <c r="T27" s="74">
        <f t="shared" ref="T27" si="99">T3+SUM(T20:T26)</f>
        <v>2179701.7425971497</v>
      </c>
      <c r="U27" s="74">
        <f t="shared" ref="U27" si="100">U3+SUM(U20:U26)</f>
        <v>2105385.0454893899</v>
      </c>
      <c r="V27" s="74">
        <f t="shared" ref="V27" si="101">V3+SUM(V20:V26)</f>
        <v>2032529.7958919292</v>
      </c>
      <c r="W27" s="74">
        <f t="shared" ref="W27" si="102">W3+SUM(W20:W26)</f>
        <v>1961141.1926228614</v>
      </c>
      <c r="X27" s="74">
        <f t="shared" ref="X27" si="103">X3+SUM(X20:X26)</f>
        <v>1893185.7975410144</v>
      </c>
      <c r="Y27" s="74">
        <f t="shared" ref="Y27" si="104">Y3+SUM(Y20:Y26)</f>
        <v>1809574.2733272577</v>
      </c>
      <c r="Z27" s="74">
        <f t="shared" ref="Z27" si="105">Z3+SUM(Z20:Z26)</f>
        <v>1737182.1864295746</v>
      </c>
      <c r="AA27" s="74">
        <f t="shared" ref="AA27:AB27" si="106">AA3+SUM(AA20:AA26)</f>
        <v>1666026.0096452709</v>
      </c>
      <c r="AB27" s="74">
        <f t="shared" si="106"/>
        <v>1596082.2645795217</v>
      </c>
      <c r="AC27" s="74">
        <f t="shared" ref="AC27" si="107">AC3+SUM(AC20:AC26)</f>
        <v>1527359.62526564</v>
      </c>
      <c r="AD27" s="74">
        <f t="shared" ref="AD27" si="108">AD3+SUM(AD20:AD26)</f>
        <v>1459886.4020089833</v>
      </c>
      <c r="AE27" s="74">
        <f t="shared" ref="AE27" si="109">AE3+SUM(AE20:AE26)</f>
        <v>1393671.8346537694</v>
      </c>
      <c r="AF27" s="74">
        <f t="shared" ref="AF27" si="110">AF3+SUM(AF20:AF26)</f>
        <v>1328730.9957230953</v>
      </c>
      <c r="AG27" s="74">
        <f t="shared" ref="AG27" si="111">AG3+SUM(AG20:AG26)</f>
        <v>1265064.4593613809</v>
      </c>
      <c r="AH27" s="74">
        <f t="shared" ref="AH27" si="112">AH3+SUM(AH20:AH26)</f>
        <v>1202739.0183116177</v>
      </c>
      <c r="AI27" s="74">
        <f t="shared" ref="AI27" si="113">AI3+SUM(AI20:AI26)</f>
        <v>1141772.5765253459</v>
      </c>
      <c r="AJ27" s="74">
        <f t="shared" ref="AJ27" si="114">AJ3+SUM(AJ20:AJ26)</f>
        <v>1082221.7664977619</v>
      </c>
      <c r="AK27" s="74">
        <f t="shared" ref="AK27" si="115">AK3+SUM(AK20:AK26)</f>
        <v>1024156.3611124086</v>
      </c>
      <c r="AL27" s="74">
        <f t="shared" ref="AL27" si="116">AL3+SUM(AL20:AL26)</f>
        <v>967606.3040748504</v>
      </c>
      <c r="AM27" s="74">
        <f t="shared" ref="AM27:AN27" si="117">AM3+SUM(AM20:AM26)</f>
        <v>912678.99435189681</v>
      </c>
      <c r="AN27" s="74">
        <f t="shared" si="117"/>
        <v>859438.72200459975</v>
      </c>
      <c r="AO27" s="74">
        <f t="shared" ref="AO27" si="118">AO3+SUM(AO20:AO26)</f>
        <v>807982.3464337734</v>
      </c>
      <c r="AP27" s="74">
        <f t="shared" ref="AP27" si="119">AP3+SUM(AP20:AP26)</f>
        <v>758422.11198333325</v>
      </c>
      <c r="AQ27" s="74">
        <f t="shared" ref="AQ27" si="120">AQ3+SUM(AQ20:AQ26)</f>
        <v>710881.94108536292</v>
      </c>
      <c r="AR27" s="74">
        <f t="shared" ref="AR27" si="121">AR3+SUM(AR20:AR26)</f>
        <v>665539.52977189037</v>
      </c>
      <c r="AS27" s="74">
        <f t="shared" ref="AS27" si="122">AS3+SUM(AS20:AS26)</f>
        <v>622511.69050596934</v>
      </c>
      <c r="AT27" s="74">
        <f t="shared" ref="AT27" si="123">AT3+SUM(AT20:AT26)</f>
        <v>581981.57871523313</v>
      </c>
      <c r="AU27" s="74">
        <f t="shared" ref="AU27" si="124">AU3+SUM(AU20:AU26)</f>
        <v>544186.8161646825</v>
      </c>
      <c r="AV27" s="74">
        <f t="shared" ref="AV27" si="125">AV3+SUM(AV20:AV26)</f>
        <v>509317.77633050794</v>
      </c>
      <c r="AW27" s="74">
        <f t="shared" ref="AW27" si="126">AW3+SUM(AW20:AW26)</f>
        <v>477640.72317778622</v>
      </c>
      <c r="AX27" s="74">
        <f t="shared" ref="AX27" si="127">AX3+SUM(AX20:AX26)</f>
        <v>449441.84555348667</v>
      </c>
      <c r="AY27" s="74">
        <f t="shared" ref="AY27:AZ27" si="128">AY3+SUM(AY20:AY26)</f>
        <v>425023.06776525558</v>
      </c>
      <c r="AZ27" s="74">
        <f t="shared" si="128"/>
        <v>404731.60757590859</v>
      </c>
      <c r="BA27" s="74">
        <f t="shared" ref="BA27" si="129">BA3+SUM(BA20:BA26)</f>
        <v>388968.02402972645</v>
      </c>
      <c r="BB27" s="74">
        <f t="shared" ref="BB27" si="130">BB3+SUM(BB20:BB26)</f>
        <v>378142.96144494438</v>
      </c>
      <c r="BC27" s="74">
        <f t="shared" ref="BC27" si="131">BC3+SUM(BC20:BC26)</f>
        <v>372769.2829138806</v>
      </c>
      <c r="BD27" s="74">
        <f t="shared" ref="BD27" si="132">BD3+SUM(BD20:BD26)</f>
        <v>373402.68523050117</v>
      </c>
      <c r="BE27" s="74">
        <f t="shared" ref="BE27" si="133">BE3+SUM(BE20:BE26)</f>
        <v>382389.99876629323</v>
      </c>
      <c r="BF27" s="74">
        <f t="shared" ref="BF27" si="134">BF3+SUM(BF20:BF26)</f>
        <v>381750.31658016244</v>
      </c>
      <c r="BG27" s="74">
        <f t="shared" ref="BG27" si="135">BG3+SUM(BG20:BG26)</f>
        <v>399144.66938223544</v>
      </c>
      <c r="BH27" s="74">
        <f t="shared" ref="BH27" si="136">BH3+SUM(BH20:BH26)</f>
        <v>425389.43361846078</v>
      </c>
      <c r="BI27" s="74">
        <f t="shared" ref="BI27" si="137">BI3+SUM(BI20:BI26)</f>
        <v>461409.25233874848</v>
      </c>
      <c r="BJ27" s="74">
        <f t="shared" ref="BJ27" si="138">BJ3+SUM(BJ20:BJ26)</f>
        <v>508209.55627352936</v>
      </c>
    </row>
    <row r="28" spans="2:62" x14ac:dyDescent="0.2">
      <c r="C28" s="1"/>
    </row>
    <row r="29" spans="2:62" s="19" customFormat="1" x14ac:dyDescent="0.2">
      <c r="B29" s="52" t="s">
        <v>150</v>
      </c>
      <c r="C29" s="53">
        <f>IF(C20&lt;0,-C27/C20,"")</f>
        <v>29.670464398139668</v>
      </c>
      <c r="D29" s="53">
        <f t="shared" ref="D29:BJ29" si="139">IF(D20&lt;0,-D27/D20,"")</f>
        <v>23.787345916994056</v>
      </c>
      <c r="E29" s="53">
        <f t="shared" si="139"/>
        <v>19.728939150327633</v>
      </c>
      <c r="F29" s="53">
        <f t="shared" si="139"/>
        <v>9.9472037988034003</v>
      </c>
      <c r="G29" s="53">
        <f t="shared" si="139"/>
        <v>6.7972478240411931</v>
      </c>
      <c r="H29" s="53">
        <f t="shared" si="139"/>
        <v>8.0328655617529137</v>
      </c>
      <c r="I29" s="53">
        <f t="shared" si="139"/>
        <v>6.6763388482222616</v>
      </c>
      <c r="J29" s="53">
        <f t="shared" si="139"/>
        <v>5.8096896573096215</v>
      </c>
      <c r="K29" s="53">
        <f t="shared" si="139"/>
        <v>4.9255450534256582</v>
      </c>
      <c r="L29" s="53">
        <f t="shared" si="139"/>
        <v>4.0263386538440518</v>
      </c>
      <c r="M29" s="53">
        <f t="shared" si="139"/>
        <v>3.1092253349376486</v>
      </c>
      <c r="N29" s="53">
        <f t="shared" si="139"/>
        <v>2.1743260735025616</v>
      </c>
      <c r="O29" s="53">
        <f t="shared" si="139"/>
        <v>33.874822614611823</v>
      </c>
      <c r="P29" s="53">
        <f t="shared" si="139"/>
        <v>27.186097540399164</v>
      </c>
      <c r="Q29" s="53">
        <f t="shared" si="139"/>
        <v>30.07933138185702</v>
      </c>
      <c r="R29" s="53">
        <f t="shared" si="139"/>
        <v>29.651489576748997</v>
      </c>
      <c r="S29" s="53">
        <f t="shared" si="139"/>
        <v>29.214386337795009</v>
      </c>
      <c r="T29" s="53">
        <f t="shared" si="139"/>
        <v>28.777587476309883</v>
      </c>
      <c r="U29" s="53">
        <f t="shared" si="139"/>
        <v>28.329906029550401</v>
      </c>
      <c r="V29" s="53">
        <f t="shared" si="139"/>
        <v>27.898192746878856</v>
      </c>
      <c r="W29" s="53">
        <f t="shared" si="139"/>
        <v>27.4713484060082</v>
      </c>
      <c r="X29" s="53">
        <f t="shared" si="139"/>
        <v>27.859242011040006</v>
      </c>
      <c r="Y29" s="53">
        <f t="shared" si="139"/>
        <v>21.642641852826422</v>
      </c>
      <c r="Z29" s="53">
        <f t="shared" si="139"/>
        <v>23.996851878090723</v>
      </c>
      <c r="AA29" s="53">
        <f t="shared" si="139"/>
        <v>23.413652685353064</v>
      </c>
      <c r="AB29" s="53">
        <f t="shared" si="139"/>
        <v>22.819513926215407</v>
      </c>
      <c r="AC29" s="53">
        <f t="shared" si="139"/>
        <v>22.224984961500418</v>
      </c>
      <c r="AD29" s="53">
        <f t="shared" si="139"/>
        <v>21.636529745375061</v>
      </c>
      <c r="AE29" s="53">
        <f t="shared" si="139"/>
        <v>21.047813046595838</v>
      </c>
      <c r="AF29" s="53">
        <f t="shared" si="139"/>
        <v>20.460637983773903</v>
      </c>
      <c r="AG29" s="53">
        <f t="shared" si="139"/>
        <v>19.870163066105238</v>
      </c>
      <c r="AH29" s="53">
        <f t="shared" si="139"/>
        <v>19.297721733750727</v>
      </c>
      <c r="AI29" s="53">
        <f t="shared" si="139"/>
        <v>18.72788608080532</v>
      </c>
      <c r="AJ29" s="53">
        <f t="shared" si="139"/>
        <v>18.17308221326418</v>
      </c>
      <c r="AK29" s="53">
        <f t="shared" si="139"/>
        <v>17.637978316272051</v>
      </c>
      <c r="AL29" s="53">
        <f t="shared" si="139"/>
        <v>17.110615882000037</v>
      </c>
      <c r="AM29" s="53">
        <f t="shared" si="139"/>
        <v>16.616124091191327</v>
      </c>
      <c r="AN29" s="53">
        <f t="shared" si="139"/>
        <v>16.142643230641408</v>
      </c>
      <c r="AO29" s="53">
        <f t="shared" si="139"/>
        <v>15.702278628653882</v>
      </c>
      <c r="AP29" s="53">
        <f t="shared" si="139"/>
        <v>15.303037211047705</v>
      </c>
      <c r="AQ29" s="53">
        <f t="shared" si="139"/>
        <v>14.953289558235754</v>
      </c>
      <c r="AR29" s="53">
        <f t="shared" si="139"/>
        <v>14.678079760044417</v>
      </c>
      <c r="AS29" s="53">
        <f t="shared" si="139"/>
        <v>14.46764934345687</v>
      </c>
      <c r="AT29" s="53">
        <f t="shared" si="139"/>
        <v>14.359239414884954</v>
      </c>
      <c r="AU29" s="53">
        <f t="shared" si="139"/>
        <v>14.398471625184317</v>
      </c>
      <c r="AV29" s="53">
        <f t="shared" si="139"/>
        <v>14.606590223093399</v>
      </c>
      <c r="AW29" s="53">
        <f t="shared" si="139"/>
        <v>15.078445614084744</v>
      </c>
      <c r="AX29" s="53">
        <f t="shared" si="139"/>
        <v>15.938288450395394</v>
      </c>
      <c r="AY29" s="53">
        <f t="shared" si="139"/>
        <v>17.405583172557463</v>
      </c>
      <c r="AZ29" s="53">
        <f t="shared" si="139"/>
        <v>19.945908465887179</v>
      </c>
      <c r="BA29" s="53">
        <f t="shared" si="139"/>
        <v>24.675101501519464</v>
      </c>
      <c r="BB29" s="53">
        <f t="shared" si="139"/>
        <v>34.932173230715499</v>
      </c>
      <c r="BC29" s="53">
        <f t="shared" si="139"/>
        <v>69.369479539760789</v>
      </c>
      <c r="BD29" s="53" t="str">
        <f t="shared" si="139"/>
        <v/>
      </c>
      <c r="BE29" s="53" t="str">
        <f t="shared" si="139"/>
        <v/>
      </c>
      <c r="BF29" s="53">
        <f t="shared" si="139"/>
        <v>596.78122176457373</v>
      </c>
      <c r="BG29" s="53" t="str">
        <f t="shared" si="139"/>
        <v/>
      </c>
      <c r="BH29" s="53" t="str">
        <f t="shared" si="139"/>
        <v/>
      </c>
      <c r="BI29" s="53" t="str">
        <f t="shared" si="139"/>
        <v/>
      </c>
      <c r="BJ29" s="53" t="str">
        <f t="shared" si="139"/>
        <v/>
      </c>
    </row>
    <row r="30" spans="2:62" x14ac:dyDescent="0.2">
      <c r="C30" s="1"/>
    </row>
    <row r="31" spans="2:62" x14ac:dyDescent="0.2">
      <c r="C31" s="1"/>
    </row>
    <row r="32" spans="2:62" x14ac:dyDescent="0.2">
      <c r="C32" s="1"/>
    </row>
  </sheetData>
  <pageMargins left="0.75" right="0.75" top="1" bottom="1" header="0.5" footer="0.5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K2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6" sqref="G16"/>
    </sheetView>
    <sheetView zoomScale="220" zoomScaleNormal="220" zoomScalePageLayoutView="160" workbookViewId="1">
      <pane xSplit="2" ySplit="2" topLeftCell="C3" activePane="bottomRight" state="frozen"/>
      <selection activeCell="C56" sqref="C56"/>
      <selection pane="topRight" activeCell="C56" sqref="C56"/>
      <selection pane="bottomLeft" activeCell="C56" sqref="C56"/>
      <selection pane="bottomRight" activeCell="F26" sqref="F26"/>
    </sheetView>
  </sheetViews>
  <sheetFormatPr baseColWidth="10" defaultRowHeight="16" x14ac:dyDescent="0.2"/>
  <cols>
    <col min="1" max="1" width="3.5" style="110" customWidth="1"/>
    <col min="2" max="2" width="23.83203125" style="110" bestFit="1" customWidth="1"/>
    <col min="3" max="7" width="10.83203125" style="111"/>
    <col min="8" max="16384" width="10.83203125" style="1"/>
  </cols>
  <sheetData>
    <row r="1" spans="1:63" x14ac:dyDescent="0.2">
      <c r="A1" s="110" t="s">
        <v>3</v>
      </c>
      <c r="C1" s="111" t="s">
        <v>0</v>
      </c>
    </row>
    <row r="2" spans="1:63" s="2" customFormat="1" x14ac:dyDescent="0.2">
      <c r="A2" s="110"/>
      <c r="B2" s="110"/>
      <c r="C2" s="116">
        <f>'Monthly Income Statement'!C2</f>
        <v>44211</v>
      </c>
      <c r="D2" s="116">
        <f>'Monthly Income Statement'!D2</f>
        <v>44241</v>
      </c>
      <c r="E2" s="116">
        <f>'Monthly Income Statement'!E2</f>
        <v>44271</v>
      </c>
      <c r="F2" s="116">
        <f>'Monthly Income Statement'!F2</f>
        <v>44301</v>
      </c>
      <c r="G2" s="116">
        <f>'Monthly Income Statement'!G2</f>
        <v>44331</v>
      </c>
      <c r="H2" s="60">
        <f>'Monthly Income Statement'!H2</f>
        <v>44361</v>
      </c>
      <c r="I2" s="60">
        <f>'Monthly Income Statement'!I2</f>
        <v>44391</v>
      </c>
      <c r="J2" s="60">
        <f>'Monthly Income Statement'!J2</f>
        <v>44421</v>
      </c>
      <c r="K2" s="60">
        <f>'Monthly Income Statement'!K2</f>
        <v>44451</v>
      </c>
      <c r="L2" s="60">
        <f>'Monthly Income Statement'!L2</f>
        <v>44481</v>
      </c>
      <c r="M2" s="60">
        <f>'Monthly Income Statement'!M2</f>
        <v>44511</v>
      </c>
      <c r="N2" s="60">
        <f>'Monthly Income Statement'!N2</f>
        <v>44541</v>
      </c>
      <c r="O2" s="60">
        <f>'Monthly Income Statement'!O2</f>
        <v>44571</v>
      </c>
      <c r="P2" s="60">
        <f>'Monthly Income Statement'!P2</f>
        <v>44601</v>
      </c>
      <c r="Q2" s="60">
        <f>'Monthly Income Statement'!Q2</f>
        <v>44631</v>
      </c>
      <c r="R2" s="60">
        <f>'Monthly Income Statement'!R2</f>
        <v>44661</v>
      </c>
      <c r="S2" s="60">
        <f>'Monthly Income Statement'!S2</f>
        <v>44691</v>
      </c>
      <c r="T2" s="60">
        <f>'Monthly Income Statement'!T2</f>
        <v>44721</v>
      </c>
      <c r="U2" s="60">
        <f>'Monthly Income Statement'!U2</f>
        <v>44751</v>
      </c>
      <c r="V2" s="60">
        <f>'Monthly Income Statement'!V2</f>
        <v>44781</v>
      </c>
      <c r="W2" s="60">
        <f>'Monthly Income Statement'!W2</f>
        <v>44811</v>
      </c>
      <c r="X2" s="60">
        <f>'Monthly Income Statement'!X2</f>
        <v>44841</v>
      </c>
      <c r="Y2" s="60">
        <f>'Monthly Income Statement'!Y2</f>
        <v>44871</v>
      </c>
      <c r="Z2" s="60">
        <f>'Monthly Income Statement'!Z2</f>
        <v>44901</v>
      </c>
      <c r="AA2" s="60">
        <f>'Monthly Income Statement'!AA2</f>
        <v>44941</v>
      </c>
      <c r="AB2" s="60">
        <f>'Monthly Income Statement'!AB2</f>
        <v>44971</v>
      </c>
      <c r="AC2" s="60">
        <f>'Monthly Income Statement'!AC2</f>
        <v>45001</v>
      </c>
      <c r="AD2" s="60">
        <f>'Monthly Income Statement'!AD2</f>
        <v>45031</v>
      </c>
      <c r="AE2" s="60">
        <f>'Monthly Income Statement'!AE2</f>
        <v>45061</v>
      </c>
      <c r="AF2" s="60">
        <f>'Monthly Income Statement'!AF2</f>
        <v>45091</v>
      </c>
      <c r="AG2" s="60">
        <f>'Monthly Income Statement'!AG2</f>
        <v>45121</v>
      </c>
      <c r="AH2" s="60">
        <f>'Monthly Income Statement'!AH2</f>
        <v>45151</v>
      </c>
      <c r="AI2" s="60">
        <f>'Monthly Income Statement'!AI2</f>
        <v>45181</v>
      </c>
      <c r="AJ2" s="60">
        <f>'Monthly Income Statement'!AJ2</f>
        <v>45211</v>
      </c>
      <c r="AK2" s="60">
        <f>'Monthly Income Statement'!AK2</f>
        <v>45241</v>
      </c>
      <c r="AL2" s="60">
        <f>'Monthly Income Statement'!AL2</f>
        <v>45271</v>
      </c>
      <c r="AM2" s="60">
        <f>'Monthly Income Statement'!AM2</f>
        <v>45301</v>
      </c>
      <c r="AN2" s="60">
        <f>'Monthly Income Statement'!AN2</f>
        <v>45331</v>
      </c>
      <c r="AO2" s="60">
        <f>'Monthly Income Statement'!AO2</f>
        <v>45361</v>
      </c>
      <c r="AP2" s="60">
        <f>'Monthly Income Statement'!AP2</f>
        <v>45391</v>
      </c>
      <c r="AQ2" s="60">
        <f>'Monthly Income Statement'!AQ2</f>
        <v>45421</v>
      </c>
      <c r="AR2" s="60">
        <f>'Monthly Income Statement'!AR2</f>
        <v>45451</v>
      </c>
      <c r="AS2" s="60">
        <f>'Monthly Income Statement'!AS2</f>
        <v>45481</v>
      </c>
      <c r="AT2" s="60">
        <f>'Monthly Income Statement'!AT2</f>
        <v>45511</v>
      </c>
      <c r="AU2" s="60">
        <f>'Monthly Income Statement'!AU2</f>
        <v>45541</v>
      </c>
      <c r="AV2" s="60">
        <f>'Monthly Income Statement'!AV2</f>
        <v>45571</v>
      </c>
      <c r="AW2" s="60">
        <f>'Monthly Income Statement'!AW2</f>
        <v>45601</v>
      </c>
      <c r="AX2" s="60">
        <f>'Monthly Income Statement'!AX2</f>
        <v>45631</v>
      </c>
      <c r="AY2" s="60">
        <f>'Monthly Income Statement'!AY2</f>
        <v>45672</v>
      </c>
      <c r="AZ2" s="60">
        <f>'Monthly Income Statement'!AZ2</f>
        <v>45702</v>
      </c>
      <c r="BA2" s="60">
        <f>'Monthly Income Statement'!BA2</f>
        <v>45732</v>
      </c>
      <c r="BB2" s="60">
        <f>'Monthly Income Statement'!BB2</f>
        <v>45762</v>
      </c>
      <c r="BC2" s="60">
        <f>'Monthly Income Statement'!BC2</f>
        <v>45792</v>
      </c>
      <c r="BD2" s="60">
        <f>'Monthly Income Statement'!BD2</f>
        <v>45822</v>
      </c>
      <c r="BE2" s="60">
        <f>'Monthly Income Statement'!BE2</f>
        <v>45852</v>
      </c>
      <c r="BF2" s="60">
        <f>'Monthly Income Statement'!BF2</f>
        <v>45882</v>
      </c>
      <c r="BG2" s="60">
        <f>'Monthly Income Statement'!BG2</f>
        <v>45912</v>
      </c>
      <c r="BH2" s="60">
        <f>'Monthly Income Statement'!BH2</f>
        <v>45942</v>
      </c>
      <c r="BI2" s="60">
        <f>'Monthly Income Statement'!BI2</f>
        <v>45972</v>
      </c>
      <c r="BJ2" s="60">
        <f>'Monthly Income Statement'!BJ2</f>
        <v>46002</v>
      </c>
    </row>
    <row r="3" spans="1:63" s="103" customFormat="1" x14ac:dyDescent="0.2">
      <c r="A3" s="117"/>
      <c r="B3" s="117" t="s">
        <v>4</v>
      </c>
      <c r="C3" s="120">
        <v>200</v>
      </c>
      <c r="D3" s="120">
        <v>250</v>
      </c>
      <c r="E3" s="120">
        <v>376</v>
      </c>
      <c r="F3" s="120">
        <v>457</v>
      </c>
      <c r="G3" s="120">
        <v>9923</v>
      </c>
      <c r="H3" s="104">
        <f t="shared" ref="H3:AL3" si="0">SteadyStateMonthlySEMSpend</f>
        <v>10000</v>
      </c>
      <c r="I3" s="104">
        <f t="shared" si="0"/>
        <v>10000</v>
      </c>
      <c r="J3" s="104">
        <f t="shared" si="0"/>
        <v>10000</v>
      </c>
      <c r="K3" s="104">
        <f t="shared" si="0"/>
        <v>10000</v>
      </c>
      <c r="L3" s="104">
        <f t="shared" si="0"/>
        <v>10000</v>
      </c>
      <c r="M3" s="104">
        <f t="shared" si="0"/>
        <v>10000</v>
      </c>
      <c r="N3" s="104">
        <f t="shared" si="0"/>
        <v>10000</v>
      </c>
      <c r="O3" s="104">
        <f t="shared" si="0"/>
        <v>10000</v>
      </c>
      <c r="P3" s="104">
        <f t="shared" si="0"/>
        <v>10000</v>
      </c>
      <c r="Q3" s="104">
        <f t="shared" si="0"/>
        <v>10000</v>
      </c>
      <c r="R3" s="104">
        <f t="shared" si="0"/>
        <v>10000</v>
      </c>
      <c r="S3" s="104">
        <f t="shared" si="0"/>
        <v>10000</v>
      </c>
      <c r="T3" s="104">
        <f t="shared" si="0"/>
        <v>10000</v>
      </c>
      <c r="U3" s="104">
        <f t="shared" si="0"/>
        <v>10000</v>
      </c>
      <c r="V3" s="104">
        <f t="shared" si="0"/>
        <v>10000</v>
      </c>
      <c r="W3" s="104">
        <f t="shared" si="0"/>
        <v>10000</v>
      </c>
      <c r="X3" s="104">
        <f t="shared" si="0"/>
        <v>10000</v>
      </c>
      <c r="Y3" s="104">
        <f t="shared" si="0"/>
        <v>10000</v>
      </c>
      <c r="Z3" s="104">
        <f t="shared" si="0"/>
        <v>10000</v>
      </c>
      <c r="AA3" s="104">
        <f t="shared" si="0"/>
        <v>10000</v>
      </c>
      <c r="AB3" s="104">
        <f t="shared" si="0"/>
        <v>10000</v>
      </c>
      <c r="AC3" s="104">
        <f t="shared" si="0"/>
        <v>10000</v>
      </c>
      <c r="AD3" s="104">
        <f t="shared" si="0"/>
        <v>10000</v>
      </c>
      <c r="AE3" s="104">
        <f t="shared" si="0"/>
        <v>10000</v>
      </c>
      <c r="AF3" s="104">
        <f t="shared" si="0"/>
        <v>10000</v>
      </c>
      <c r="AG3" s="104">
        <f t="shared" si="0"/>
        <v>10000</v>
      </c>
      <c r="AH3" s="104">
        <f t="shared" si="0"/>
        <v>10000</v>
      </c>
      <c r="AI3" s="104">
        <f t="shared" si="0"/>
        <v>10000</v>
      </c>
      <c r="AJ3" s="104">
        <f t="shared" si="0"/>
        <v>10000</v>
      </c>
      <c r="AK3" s="104">
        <f t="shared" si="0"/>
        <v>10000</v>
      </c>
      <c r="AL3" s="104">
        <f t="shared" si="0"/>
        <v>10000</v>
      </c>
      <c r="AM3" s="104">
        <f t="shared" ref="AM3:BJ3" si="1">SteadyStateMonthlySEMSpend</f>
        <v>10000</v>
      </c>
      <c r="AN3" s="104">
        <f t="shared" si="1"/>
        <v>10000</v>
      </c>
      <c r="AO3" s="104">
        <f t="shared" si="1"/>
        <v>10000</v>
      </c>
      <c r="AP3" s="104">
        <f t="shared" si="1"/>
        <v>10000</v>
      </c>
      <c r="AQ3" s="104">
        <f t="shared" si="1"/>
        <v>10000</v>
      </c>
      <c r="AR3" s="104">
        <f t="shared" si="1"/>
        <v>10000</v>
      </c>
      <c r="AS3" s="104">
        <f t="shared" si="1"/>
        <v>10000</v>
      </c>
      <c r="AT3" s="104">
        <f t="shared" si="1"/>
        <v>10000</v>
      </c>
      <c r="AU3" s="104">
        <f t="shared" si="1"/>
        <v>10000</v>
      </c>
      <c r="AV3" s="104">
        <f t="shared" si="1"/>
        <v>10000</v>
      </c>
      <c r="AW3" s="104">
        <f t="shared" si="1"/>
        <v>10000</v>
      </c>
      <c r="AX3" s="104">
        <f t="shared" si="1"/>
        <v>10000</v>
      </c>
      <c r="AY3" s="104">
        <f t="shared" si="1"/>
        <v>10000</v>
      </c>
      <c r="AZ3" s="104">
        <f t="shared" si="1"/>
        <v>10000</v>
      </c>
      <c r="BA3" s="104">
        <f t="shared" si="1"/>
        <v>10000</v>
      </c>
      <c r="BB3" s="104">
        <f t="shared" si="1"/>
        <v>10000</v>
      </c>
      <c r="BC3" s="104">
        <f t="shared" si="1"/>
        <v>10000</v>
      </c>
      <c r="BD3" s="104">
        <f t="shared" si="1"/>
        <v>10000</v>
      </c>
      <c r="BE3" s="104">
        <f t="shared" si="1"/>
        <v>10000</v>
      </c>
      <c r="BF3" s="104">
        <f t="shared" si="1"/>
        <v>10000</v>
      </c>
      <c r="BG3" s="104">
        <f t="shared" si="1"/>
        <v>10000</v>
      </c>
      <c r="BH3" s="104">
        <f t="shared" si="1"/>
        <v>10000</v>
      </c>
      <c r="BI3" s="104">
        <f t="shared" si="1"/>
        <v>10000</v>
      </c>
      <c r="BJ3" s="104">
        <f t="shared" si="1"/>
        <v>10000</v>
      </c>
    </row>
    <row r="4" spans="1:63" s="103" customFormat="1" x14ac:dyDescent="0.2">
      <c r="A4" s="117"/>
      <c r="B4" s="117" t="s">
        <v>199</v>
      </c>
      <c r="C4" s="121">
        <f>C3/C5</f>
        <v>2.3529411764705883</v>
      </c>
      <c r="D4" s="121">
        <f t="shared" ref="D4" si="2">D3/D5</f>
        <v>2.4271844660194173</v>
      </c>
      <c r="E4" s="121">
        <f t="shared" ref="E4" si="3">E3/E5</f>
        <v>2.2787878787878788</v>
      </c>
      <c r="F4" s="121">
        <f t="shared" ref="F4" si="4">F3/F5</f>
        <v>2.2736318407960199</v>
      </c>
      <c r="G4" s="121">
        <f t="shared" ref="G4" si="5">G3/G5</f>
        <v>2.2414727806641066</v>
      </c>
      <c r="H4" s="108">
        <f t="shared" ref="H4:AM4" si="6">AverageCPCGoogle</f>
        <v>2.25</v>
      </c>
      <c r="I4" s="108">
        <f t="shared" si="6"/>
        <v>2.25</v>
      </c>
      <c r="J4" s="108">
        <f t="shared" si="6"/>
        <v>2.25</v>
      </c>
      <c r="K4" s="108">
        <f t="shared" si="6"/>
        <v>2.25</v>
      </c>
      <c r="L4" s="108">
        <f t="shared" si="6"/>
        <v>2.25</v>
      </c>
      <c r="M4" s="108">
        <f t="shared" si="6"/>
        <v>2.25</v>
      </c>
      <c r="N4" s="108">
        <f t="shared" si="6"/>
        <v>2.25</v>
      </c>
      <c r="O4" s="108">
        <f t="shared" si="6"/>
        <v>2.25</v>
      </c>
      <c r="P4" s="108">
        <f t="shared" si="6"/>
        <v>2.25</v>
      </c>
      <c r="Q4" s="108">
        <f t="shared" si="6"/>
        <v>2.25</v>
      </c>
      <c r="R4" s="108">
        <f t="shared" si="6"/>
        <v>2.25</v>
      </c>
      <c r="S4" s="108">
        <f t="shared" si="6"/>
        <v>2.25</v>
      </c>
      <c r="T4" s="108">
        <f t="shared" si="6"/>
        <v>2.25</v>
      </c>
      <c r="U4" s="108">
        <f t="shared" si="6"/>
        <v>2.25</v>
      </c>
      <c r="V4" s="108">
        <f t="shared" si="6"/>
        <v>2.25</v>
      </c>
      <c r="W4" s="108">
        <f t="shared" si="6"/>
        <v>2.25</v>
      </c>
      <c r="X4" s="108">
        <f t="shared" si="6"/>
        <v>2.25</v>
      </c>
      <c r="Y4" s="108">
        <f t="shared" si="6"/>
        <v>2.25</v>
      </c>
      <c r="Z4" s="108">
        <f t="shared" si="6"/>
        <v>2.25</v>
      </c>
      <c r="AA4" s="108">
        <f t="shared" si="6"/>
        <v>2.25</v>
      </c>
      <c r="AB4" s="108">
        <f t="shared" si="6"/>
        <v>2.25</v>
      </c>
      <c r="AC4" s="108">
        <f t="shared" si="6"/>
        <v>2.25</v>
      </c>
      <c r="AD4" s="108">
        <f t="shared" si="6"/>
        <v>2.25</v>
      </c>
      <c r="AE4" s="108">
        <f t="shared" si="6"/>
        <v>2.25</v>
      </c>
      <c r="AF4" s="108">
        <f t="shared" si="6"/>
        <v>2.25</v>
      </c>
      <c r="AG4" s="108">
        <f t="shared" si="6"/>
        <v>2.25</v>
      </c>
      <c r="AH4" s="108">
        <f t="shared" si="6"/>
        <v>2.25</v>
      </c>
      <c r="AI4" s="108">
        <f t="shared" si="6"/>
        <v>2.25</v>
      </c>
      <c r="AJ4" s="108">
        <f t="shared" si="6"/>
        <v>2.25</v>
      </c>
      <c r="AK4" s="108">
        <f t="shared" si="6"/>
        <v>2.25</v>
      </c>
      <c r="AL4" s="108">
        <f t="shared" si="6"/>
        <v>2.25</v>
      </c>
      <c r="AM4" s="108">
        <f t="shared" si="6"/>
        <v>2.25</v>
      </c>
      <c r="AN4" s="108">
        <f t="shared" ref="AN4:BJ4" si="7">AverageCPCGoogle</f>
        <v>2.25</v>
      </c>
      <c r="AO4" s="108">
        <f t="shared" si="7"/>
        <v>2.25</v>
      </c>
      <c r="AP4" s="108">
        <f t="shared" si="7"/>
        <v>2.25</v>
      </c>
      <c r="AQ4" s="108">
        <f t="shared" si="7"/>
        <v>2.25</v>
      </c>
      <c r="AR4" s="108">
        <f t="shared" si="7"/>
        <v>2.25</v>
      </c>
      <c r="AS4" s="108">
        <f t="shared" si="7"/>
        <v>2.25</v>
      </c>
      <c r="AT4" s="108">
        <f t="shared" si="7"/>
        <v>2.25</v>
      </c>
      <c r="AU4" s="108">
        <f t="shared" si="7"/>
        <v>2.25</v>
      </c>
      <c r="AV4" s="108">
        <f t="shared" si="7"/>
        <v>2.25</v>
      </c>
      <c r="AW4" s="108">
        <f t="shared" si="7"/>
        <v>2.25</v>
      </c>
      <c r="AX4" s="108">
        <f t="shared" si="7"/>
        <v>2.25</v>
      </c>
      <c r="AY4" s="108">
        <f t="shared" si="7"/>
        <v>2.25</v>
      </c>
      <c r="AZ4" s="108">
        <f t="shared" si="7"/>
        <v>2.25</v>
      </c>
      <c r="BA4" s="108">
        <f t="shared" si="7"/>
        <v>2.25</v>
      </c>
      <c r="BB4" s="108">
        <f t="shared" si="7"/>
        <v>2.25</v>
      </c>
      <c r="BC4" s="108">
        <f t="shared" si="7"/>
        <v>2.25</v>
      </c>
      <c r="BD4" s="108">
        <f t="shared" si="7"/>
        <v>2.25</v>
      </c>
      <c r="BE4" s="108">
        <f t="shared" si="7"/>
        <v>2.25</v>
      </c>
      <c r="BF4" s="108">
        <f t="shared" si="7"/>
        <v>2.25</v>
      </c>
      <c r="BG4" s="108">
        <f t="shared" si="7"/>
        <v>2.25</v>
      </c>
      <c r="BH4" s="108">
        <f t="shared" si="7"/>
        <v>2.25</v>
      </c>
      <c r="BI4" s="108">
        <f t="shared" si="7"/>
        <v>2.25</v>
      </c>
      <c r="BJ4" s="108">
        <f t="shared" si="7"/>
        <v>2.25</v>
      </c>
    </row>
    <row r="5" spans="1:63" x14ac:dyDescent="0.2">
      <c r="B5" s="110" t="s">
        <v>161</v>
      </c>
      <c r="C5" s="113">
        <v>85</v>
      </c>
      <c r="D5" s="113">
        <v>103</v>
      </c>
      <c r="E5" s="113">
        <v>165</v>
      </c>
      <c r="F5" s="113">
        <v>201</v>
      </c>
      <c r="G5" s="113">
        <v>4427</v>
      </c>
      <c r="H5" s="1">
        <f>H3/H4</f>
        <v>4444.4444444444443</v>
      </c>
      <c r="I5" s="1">
        <f t="shared" ref="I5:BJ5" si="8">I3/I4</f>
        <v>4444.4444444444443</v>
      </c>
      <c r="J5" s="1">
        <f t="shared" si="8"/>
        <v>4444.4444444444443</v>
      </c>
      <c r="K5" s="1">
        <f t="shared" si="8"/>
        <v>4444.4444444444443</v>
      </c>
      <c r="L5" s="1">
        <f t="shared" si="8"/>
        <v>4444.4444444444443</v>
      </c>
      <c r="M5" s="1">
        <f t="shared" si="8"/>
        <v>4444.4444444444443</v>
      </c>
      <c r="N5" s="1">
        <f t="shared" si="8"/>
        <v>4444.4444444444443</v>
      </c>
      <c r="O5" s="1">
        <f t="shared" si="8"/>
        <v>4444.4444444444443</v>
      </c>
      <c r="P5" s="1">
        <f t="shared" si="8"/>
        <v>4444.4444444444443</v>
      </c>
      <c r="Q5" s="1">
        <f t="shared" si="8"/>
        <v>4444.4444444444443</v>
      </c>
      <c r="R5" s="1">
        <f t="shared" si="8"/>
        <v>4444.4444444444443</v>
      </c>
      <c r="S5" s="1">
        <f t="shared" si="8"/>
        <v>4444.4444444444443</v>
      </c>
      <c r="T5" s="1">
        <f t="shared" si="8"/>
        <v>4444.4444444444443</v>
      </c>
      <c r="U5" s="1">
        <f t="shared" si="8"/>
        <v>4444.4444444444443</v>
      </c>
      <c r="V5" s="1">
        <f t="shared" si="8"/>
        <v>4444.4444444444443</v>
      </c>
      <c r="W5" s="1">
        <f t="shared" si="8"/>
        <v>4444.4444444444443</v>
      </c>
      <c r="X5" s="1">
        <f t="shared" si="8"/>
        <v>4444.4444444444443</v>
      </c>
      <c r="Y5" s="1">
        <f t="shared" si="8"/>
        <v>4444.4444444444443</v>
      </c>
      <c r="Z5" s="1">
        <f t="shared" si="8"/>
        <v>4444.4444444444443</v>
      </c>
      <c r="AA5" s="1">
        <f t="shared" si="8"/>
        <v>4444.4444444444443</v>
      </c>
      <c r="AB5" s="1">
        <f t="shared" si="8"/>
        <v>4444.4444444444443</v>
      </c>
      <c r="AC5" s="1">
        <f t="shared" si="8"/>
        <v>4444.4444444444443</v>
      </c>
      <c r="AD5" s="1">
        <f t="shared" si="8"/>
        <v>4444.4444444444443</v>
      </c>
      <c r="AE5" s="1">
        <f t="shared" si="8"/>
        <v>4444.4444444444443</v>
      </c>
      <c r="AF5" s="1">
        <f t="shared" si="8"/>
        <v>4444.4444444444443</v>
      </c>
      <c r="AG5" s="1">
        <f t="shared" si="8"/>
        <v>4444.4444444444443</v>
      </c>
      <c r="AH5" s="1">
        <f t="shared" si="8"/>
        <v>4444.4444444444443</v>
      </c>
      <c r="AI5" s="1">
        <f t="shared" si="8"/>
        <v>4444.4444444444443</v>
      </c>
      <c r="AJ5" s="1">
        <f t="shared" si="8"/>
        <v>4444.4444444444443</v>
      </c>
      <c r="AK5" s="1">
        <f t="shared" si="8"/>
        <v>4444.4444444444443</v>
      </c>
      <c r="AL5" s="1">
        <f t="shared" si="8"/>
        <v>4444.4444444444443</v>
      </c>
      <c r="AM5" s="1">
        <f t="shared" si="8"/>
        <v>4444.4444444444443</v>
      </c>
      <c r="AN5" s="1">
        <f t="shared" si="8"/>
        <v>4444.4444444444443</v>
      </c>
      <c r="AO5" s="1">
        <f t="shared" si="8"/>
        <v>4444.4444444444443</v>
      </c>
      <c r="AP5" s="1">
        <f t="shared" si="8"/>
        <v>4444.4444444444443</v>
      </c>
      <c r="AQ5" s="1">
        <f t="shared" si="8"/>
        <v>4444.4444444444443</v>
      </c>
      <c r="AR5" s="1">
        <f t="shared" si="8"/>
        <v>4444.4444444444443</v>
      </c>
      <c r="AS5" s="1">
        <f t="shared" si="8"/>
        <v>4444.4444444444443</v>
      </c>
      <c r="AT5" s="1">
        <f t="shared" si="8"/>
        <v>4444.4444444444443</v>
      </c>
      <c r="AU5" s="1">
        <f t="shared" si="8"/>
        <v>4444.4444444444443</v>
      </c>
      <c r="AV5" s="1">
        <f t="shared" si="8"/>
        <v>4444.4444444444443</v>
      </c>
      <c r="AW5" s="1">
        <f t="shared" si="8"/>
        <v>4444.4444444444443</v>
      </c>
      <c r="AX5" s="1">
        <f t="shared" si="8"/>
        <v>4444.4444444444443</v>
      </c>
      <c r="AY5" s="1">
        <f t="shared" si="8"/>
        <v>4444.4444444444443</v>
      </c>
      <c r="AZ5" s="1">
        <f t="shared" si="8"/>
        <v>4444.4444444444443</v>
      </c>
      <c r="BA5" s="1">
        <f t="shared" si="8"/>
        <v>4444.4444444444443</v>
      </c>
      <c r="BB5" s="1">
        <f t="shared" si="8"/>
        <v>4444.4444444444443</v>
      </c>
      <c r="BC5" s="1">
        <f t="shared" si="8"/>
        <v>4444.4444444444443</v>
      </c>
      <c r="BD5" s="1">
        <f t="shared" si="8"/>
        <v>4444.4444444444443</v>
      </c>
      <c r="BE5" s="1">
        <f t="shared" si="8"/>
        <v>4444.4444444444443</v>
      </c>
      <c r="BF5" s="1">
        <f t="shared" si="8"/>
        <v>4444.4444444444443</v>
      </c>
      <c r="BG5" s="1">
        <f t="shared" si="8"/>
        <v>4444.4444444444443</v>
      </c>
      <c r="BH5" s="1">
        <f t="shared" si="8"/>
        <v>4444.4444444444443</v>
      </c>
      <c r="BI5" s="1">
        <f t="shared" si="8"/>
        <v>4444.4444444444443</v>
      </c>
      <c r="BJ5" s="1">
        <f t="shared" si="8"/>
        <v>4444.4444444444443</v>
      </c>
    </row>
    <row r="6" spans="1:63" customFormat="1" x14ac:dyDescent="0.2">
      <c r="A6" s="110"/>
      <c r="B6" s="117"/>
      <c r="C6" s="118"/>
      <c r="D6" s="118"/>
      <c r="E6" s="118"/>
      <c r="F6" s="118"/>
      <c r="G6" s="118"/>
    </row>
    <row r="7" spans="1:63" s="103" customFormat="1" x14ac:dyDescent="0.2">
      <c r="A7" s="117"/>
      <c r="B7" s="117" t="s">
        <v>6</v>
      </c>
      <c r="C7" s="120">
        <v>200</v>
      </c>
      <c r="D7" s="72">
        <v>250</v>
      </c>
      <c r="E7" s="72">
        <v>434</v>
      </c>
      <c r="F7" s="72">
        <v>452</v>
      </c>
      <c r="G7" s="120">
        <v>10163</v>
      </c>
      <c r="H7" s="104">
        <f t="shared" ref="H7:AL7" si="9">SteadyStateMonthlyFBSpend</f>
        <v>10000</v>
      </c>
      <c r="I7" s="104">
        <f t="shared" si="9"/>
        <v>10000</v>
      </c>
      <c r="J7" s="104">
        <f t="shared" si="9"/>
        <v>10000</v>
      </c>
      <c r="K7" s="104">
        <f t="shared" si="9"/>
        <v>10000</v>
      </c>
      <c r="L7" s="104">
        <f t="shared" si="9"/>
        <v>10000</v>
      </c>
      <c r="M7" s="104">
        <f t="shared" si="9"/>
        <v>10000</v>
      </c>
      <c r="N7" s="104">
        <f t="shared" si="9"/>
        <v>10000</v>
      </c>
      <c r="O7" s="104">
        <f t="shared" si="9"/>
        <v>10000</v>
      </c>
      <c r="P7" s="104">
        <f t="shared" si="9"/>
        <v>10000</v>
      </c>
      <c r="Q7" s="104">
        <f t="shared" si="9"/>
        <v>10000</v>
      </c>
      <c r="R7" s="104">
        <f t="shared" si="9"/>
        <v>10000</v>
      </c>
      <c r="S7" s="104">
        <f t="shared" si="9"/>
        <v>10000</v>
      </c>
      <c r="T7" s="104">
        <f t="shared" si="9"/>
        <v>10000</v>
      </c>
      <c r="U7" s="104">
        <f t="shared" si="9"/>
        <v>10000</v>
      </c>
      <c r="V7" s="104">
        <f t="shared" si="9"/>
        <v>10000</v>
      </c>
      <c r="W7" s="104">
        <f t="shared" si="9"/>
        <v>10000</v>
      </c>
      <c r="X7" s="104">
        <f t="shared" si="9"/>
        <v>10000</v>
      </c>
      <c r="Y7" s="104">
        <f t="shared" si="9"/>
        <v>10000</v>
      </c>
      <c r="Z7" s="104">
        <f t="shared" si="9"/>
        <v>10000</v>
      </c>
      <c r="AA7" s="104">
        <f t="shared" si="9"/>
        <v>10000</v>
      </c>
      <c r="AB7" s="104">
        <f t="shared" si="9"/>
        <v>10000</v>
      </c>
      <c r="AC7" s="104">
        <f t="shared" si="9"/>
        <v>10000</v>
      </c>
      <c r="AD7" s="104">
        <f t="shared" si="9"/>
        <v>10000</v>
      </c>
      <c r="AE7" s="104">
        <f t="shared" si="9"/>
        <v>10000</v>
      </c>
      <c r="AF7" s="104">
        <f t="shared" si="9"/>
        <v>10000</v>
      </c>
      <c r="AG7" s="104">
        <f t="shared" si="9"/>
        <v>10000</v>
      </c>
      <c r="AH7" s="104">
        <f t="shared" si="9"/>
        <v>10000</v>
      </c>
      <c r="AI7" s="104">
        <f t="shared" si="9"/>
        <v>10000</v>
      </c>
      <c r="AJ7" s="104">
        <f t="shared" si="9"/>
        <v>10000</v>
      </c>
      <c r="AK7" s="104">
        <f t="shared" si="9"/>
        <v>10000</v>
      </c>
      <c r="AL7" s="104">
        <f t="shared" si="9"/>
        <v>10000</v>
      </c>
      <c r="AM7" s="104">
        <f t="shared" ref="AM7:BJ7" si="10">SteadyStateMonthlyFBSpend</f>
        <v>10000</v>
      </c>
      <c r="AN7" s="104">
        <f t="shared" si="10"/>
        <v>10000</v>
      </c>
      <c r="AO7" s="104">
        <f t="shared" si="10"/>
        <v>10000</v>
      </c>
      <c r="AP7" s="104">
        <f t="shared" si="10"/>
        <v>10000</v>
      </c>
      <c r="AQ7" s="104">
        <f t="shared" si="10"/>
        <v>10000</v>
      </c>
      <c r="AR7" s="104">
        <f t="shared" si="10"/>
        <v>10000</v>
      </c>
      <c r="AS7" s="104">
        <f t="shared" si="10"/>
        <v>10000</v>
      </c>
      <c r="AT7" s="104">
        <f t="shared" si="10"/>
        <v>10000</v>
      </c>
      <c r="AU7" s="104">
        <f t="shared" si="10"/>
        <v>10000</v>
      </c>
      <c r="AV7" s="104">
        <f t="shared" si="10"/>
        <v>10000</v>
      </c>
      <c r="AW7" s="104">
        <f t="shared" si="10"/>
        <v>10000</v>
      </c>
      <c r="AX7" s="104">
        <f t="shared" si="10"/>
        <v>10000</v>
      </c>
      <c r="AY7" s="104">
        <f t="shared" si="10"/>
        <v>10000</v>
      </c>
      <c r="AZ7" s="104">
        <f t="shared" si="10"/>
        <v>10000</v>
      </c>
      <c r="BA7" s="104">
        <f t="shared" si="10"/>
        <v>10000</v>
      </c>
      <c r="BB7" s="104">
        <f t="shared" si="10"/>
        <v>10000</v>
      </c>
      <c r="BC7" s="104">
        <f t="shared" si="10"/>
        <v>10000</v>
      </c>
      <c r="BD7" s="104">
        <f t="shared" si="10"/>
        <v>10000</v>
      </c>
      <c r="BE7" s="104">
        <f t="shared" si="10"/>
        <v>10000</v>
      </c>
      <c r="BF7" s="104">
        <f t="shared" si="10"/>
        <v>10000</v>
      </c>
      <c r="BG7" s="104">
        <f t="shared" si="10"/>
        <v>10000</v>
      </c>
      <c r="BH7" s="104">
        <f t="shared" si="10"/>
        <v>10000</v>
      </c>
      <c r="BI7" s="104">
        <f t="shared" si="10"/>
        <v>10000</v>
      </c>
      <c r="BJ7" s="104">
        <f t="shared" si="10"/>
        <v>10000</v>
      </c>
      <c r="BK7" s="104"/>
    </row>
    <row r="8" spans="1:63" s="103" customFormat="1" x14ac:dyDescent="0.2">
      <c r="A8" s="117"/>
      <c r="B8" s="117" t="s">
        <v>200</v>
      </c>
      <c r="C8" s="121">
        <f>C7/C9</f>
        <v>1.9047619047619047</v>
      </c>
      <c r="D8" s="121">
        <f t="shared" ref="D8:G8" si="11">D7/D9</f>
        <v>1.7482517482517483</v>
      </c>
      <c r="E8" s="121">
        <f t="shared" si="11"/>
        <v>1.9203539823008851</v>
      </c>
      <c r="F8" s="121">
        <f t="shared" si="11"/>
        <v>1.9567099567099566</v>
      </c>
      <c r="G8" s="121">
        <f t="shared" si="11"/>
        <v>1.8468108304561148</v>
      </c>
      <c r="H8" s="100">
        <f t="shared" ref="H8:AM8" si="12">AverageCPConFACEBOOK</f>
        <v>1.85</v>
      </c>
      <c r="I8" s="100">
        <f t="shared" si="12"/>
        <v>1.85</v>
      </c>
      <c r="J8" s="100">
        <f t="shared" si="12"/>
        <v>1.85</v>
      </c>
      <c r="K8" s="100">
        <f t="shared" si="12"/>
        <v>1.85</v>
      </c>
      <c r="L8" s="100">
        <f t="shared" si="12"/>
        <v>1.85</v>
      </c>
      <c r="M8" s="100">
        <f t="shared" si="12"/>
        <v>1.85</v>
      </c>
      <c r="N8" s="100">
        <f t="shared" si="12"/>
        <v>1.85</v>
      </c>
      <c r="O8" s="100">
        <f t="shared" si="12"/>
        <v>1.85</v>
      </c>
      <c r="P8" s="100">
        <f t="shared" si="12"/>
        <v>1.85</v>
      </c>
      <c r="Q8" s="100">
        <f t="shared" si="12"/>
        <v>1.85</v>
      </c>
      <c r="R8" s="100">
        <f t="shared" si="12"/>
        <v>1.85</v>
      </c>
      <c r="S8" s="100">
        <f t="shared" si="12"/>
        <v>1.85</v>
      </c>
      <c r="T8" s="100">
        <f t="shared" si="12"/>
        <v>1.85</v>
      </c>
      <c r="U8" s="100">
        <f t="shared" si="12"/>
        <v>1.85</v>
      </c>
      <c r="V8" s="100">
        <f t="shared" si="12"/>
        <v>1.85</v>
      </c>
      <c r="W8" s="100">
        <f t="shared" si="12"/>
        <v>1.85</v>
      </c>
      <c r="X8" s="100">
        <f t="shared" si="12"/>
        <v>1.85</v>
      </c>
      <c r="Y8" s="100">
        <f t="shared" si="12"/>
        <v>1.85</v>
      </c>
      <c r="Z8" s="100">
        <f t="shared" si="12"/>
        <v>1.85</v>
      </c>
      <c r="AA8" s="100">
        <f t="shared" si="12"/>
        <v>1.85</v>
      </c>
      <c r="AB8" s="100">
        <f t="shared" si="12"/>
        <v>1.85</v>
      </c>
      <c r="AC8" s="100">
        <f t="shared" si="12"/>
        <v>1.85</v>
      </c>
      <c r="AD8" s="100">
        <f t="shared" si="12"/>
        <v>1.85</v>
      </c>
      <c r="AE8" s="100">
        <f t="shared" si="12"/>
        <v>1.85</v>
      </c>
      <c r="AF8" s="100">
        <f t="shared" si="12"/>
        <v>1.85</v>
      </c>
      <c r="AG8" s="100">
        <f t="shared" si="12"/>
        <v>1.85</v>
      </c>
      <c r="AH8" s="100">
        <f t="shared" si="12"/>
        <v>1.85</v>
      </c>
      <c r="AI8" s="100">
        <f t="shared" si="12"/>
        <v>1.85</v>
      </c>
      <c r="AJ8" s="100">
        <f t="shared" si="12"/>
        <v>1.85</v>
      </c>
      <c r="AK8" s="100">
        <f t="shared" si="12"/>
        <v>1.85</v>
      </c>
      <c r="AL8" s="100">
        <f t="shared" si="12"/>
        <v>1.85</v>
      </c>
      <c r="AM8" s="100">
        <f t="shared" si="12"/>
        <v>1.85</v>
      </c>
      <c r="AN8" s="100">
        <f t="shared" ref="AN8:BJ8" si="13">AverageCPConFACEBOOK</f>
        <v>1.85</v>
      </c>
      <c r="AO8" s="100">
        <f t="shared" si="13"/>
        <v>1.85</v>
      </c>
      <c r="AP8" s="100">
        <f t="shared" si="13"/>
        <v>1.85</v>
      </c>
      <c r="AQ8" s="100">
        <f t="shared" si="13"/>
        <v>1.85</v>
      </c>
      <c r="AR8" s="100">
        <f t="shared" si="13"/>
        <v>1.85</v>
      </c>
      <c r="AS8" s="100">
        <f t="shared" si="13"/>
        <v>1.85</v>
      </c>
      <c r="AT8" s="100">
        <f t="shared" si="13"/>
        <v>1.85</v>
      </c>
      <c r="AU8" s="100">
        <f t="shared" si="13"/>
        <v>1.85</v>
      </c>
      <c r="AV8" s="100">
        <f t="shared" si="13"/>
        <v>1.85</v>
      </c>
      <c r="AW8" s="100">
        <f t="shared" si="13"/>
        <v>1.85</v>
      </c>
      <c r="AX8" s="100">
        <f t="shared" si="13"/>
        <v>1.85</v>
      </c>
      <c r="AY8" s="100">
        <f t="shared" si="13"/>
        <v>1.85</v>
      </c>
      <c r="AZ8" s="100">
        <f t="shared" si="13"/>
        <v>1.85</v>
      </c>
      <c r="BA8" s="100">
        <f t="shared" si="13"/>
        <v>1.85</v>
      </c>
      <c r="BB8" s="100">
        <f t="shared" si="13"/>
        <v>1.85</v>
      </c>
      <c r="BC8" s="100">
        <f t="shared" si="13"/>
        <v>1.85</v>
      </c>
      <c r="BD8" s="100">
        <f t="shared" si="13"/>
        <v>1.85</v>
      </c>
      <c r="BE8" s="100">
        <f t="shared" si="13"/>
        <v>1.85</v>
      </c>
      <c r="BF8" s="100">
        <f t="shared" si="13"/>
        <v>1.85</v>
      </c>
      <c r="BG8" s="100">
        <f t="shared" si="13"/>
        <v>1.85</v>
      </c>
      <c r="BH8" s="100">
        <f t="shared" si="13"/>
        <v>1.85</v>
      </c>
      <c r="BI8" s="100">
        <f t="shared" si="13"/>
        <v>1.85</v>
      </c>
      <c r="BJ8" s="100">
        <f t="shared" si="13"/>
        <v>1.85</v>
      </c>
      <c r="BK8" s="104"/>
    </row>
    <row r="9" spans="1:63" customFormat="1" x14ac:dyDescent="0.2">
      <c r="A9" s="110"/>
      <c r="B9" s="117" t="s">
        <v>162</v>
      </c>
      <c r="C9" s="113">
        <v>105</v>
      </c>
      <c r="D9" s="113">
        <v>143</v>
      </c>
      <c r="E9" s="113">
        <v>226</v>
      </c>
      <c r="F9" s="113">
        <v>231</v>
      </c>
      <c r="G9" s="113">
        <v>5503</v>
      </c>
      <c r="H9" s="1">
        <f>H7/H8</f>
        <v>5405.405405405405</v>
      </c>
      <c r="I9" s="1">
        <f t="shared" ref="I9:BJ9" si="14">I7/I8</f>
        <v>5405.405405405405</v>
      </c>
      <c r="J9" s="1">
        <f t="shared" si="14"/>
        <v>5405.405405405405</v>
      </c>
      <c r="K9" s="1">
        <f t="shared" si="14"/>
        <v>5405.405405405405</v>
      </c>
      <c r="L9" s="1">
        <f t="shared" si="14"/>
        <v>5405.405405405405</v>
      </c>
      <c r="M9" s="1">
        <f t="shared" si="14"/>
        <v>5405.405405405405</v>
      </c>
      <c r="N9" s="1">
        <f t="shared" si="14"/>
        <v>5405.405405405405</v>
      </c>
      <c r="O9" s="1">
        <f t="shared" si="14"/>
        <v>5405.405405405405</v>
      </c>
      <c r="P9" s="1">
        <f t="shared" si="14"/>
        <v>5405.405405405405</v>
      </c>
      <c r="Q9" s="1">
        <f t="shared" si="14"/>
        <v>5405.405405405405</v>
      </c>
      <c r="R9" s="1">
        <f t="shared" si="14"/>
        <v>5405.405405405405</v>
      </c>
      <c r="S9" s="1">
        <f t="shared" si="14"/>
        <v>5405.405405405405</v>
      </c>
      <c r="T9" s="1">
        <f t="shared" si="14"/>
        <v>5405.405405405405</v>
      </c>
      <c r="U9" s="1">
        <f t="shared" si="14"/>
        <v>5405.405405405405</v>
      </c>
      <c r="V9" s="1">
        <f t="shared" si="14"/>
        <v>5405.405405405405</v>
      </c>
      <c r="W9" s="1">
        <f t="shared" si="14"/>
        <v>5405.405405405405</v>
      </c>
      <c r="X9" s="1">
        <f t="shared" si="14"/>
        <v>5405.405405405405</v>
      </c>
      <c r="Y9" s="1">
        <f t="shared" si="14"/>
        <v>5405.405405405405</v>
      </c>
      <c r="Z9" s="1">
        <f t="shared" si="14"/>
        <v>5405.405405405405</v>
      </c>
      <c r="AA9" s="1">
        <f t="shared" si="14"/>
        <v>5405.405405405405</v>
      </c>
      <c r="AB9" s="1">
        <f t="shared" si="14"/>
        <v>5405.405405405405</v>
      </c>
      <c r="AC9" s="1">
        <f t="shared" si="14"/>
        <v>5405.405405405405</v>
      </c>
      <c r="AD9" s="1">
        <f t="shared" si="14"/>
        <v>5405.405405405405</v>
      </c>
      <c r="AE9" s="1">
        <f t="shared" si="14"/>
        <v>5405.405405405405</v>
      </c>
      <c r="AF9" s="1">
        <f t="shared" si="14"/>
        <v>5405.405405405405</v>
      </c>
      <c r="AG9" s="1">
        <f t="shared" si="14"/>
        <v>5405.405405405405</v>
      </c>
      <c r="AH9" s="1">
        <f t="shared" si="14"/>
        <v>5405.405405405405</v>
      </c>
      <c r="AI9" s="1">
        <f t="shared" si="14"/>
        <v>5405.405405405405</v>
      </c>
      <c r="AJ9" s="1">
        <f t="shared" si="14"/>
        <v>5405.405405405405</v>
      </c>
      <c r="AK9" s="1">
        <f t="shared" si="14"/>
        <v>5405.405405405405</v>
      </c>
      <c r="AL9" s="1">
        <f t="shared" si="14"/>
        <v>5405.405405405405</v>
      </c>
      <c r="AM9" s="1">
        <f t="shared" si="14"/>
        <v>5405.405405405405</v>
      </c>
      <c r="AN9" s="1">
        <f t="shared" si="14"/>
        <v>5405.405405405405</v>
      </c>
      <c r="AO9" s="1">
        <f t="shared" si="14"/>
        <v>5405.405405405405</v>
      </c>
      <c r="AP9" s="1">
        <f t="shared" si="14"/>
        <v>5405.405405405405</v>
      </c>
      <c r="AQ9" s="1">
        <f t="shared" si="14"/>
        <v>5405.405405405405</v>
      </c>
      <c r="AR9" s="1">
        <f t="shared" si="14"/>
        <v>5405.405405405405</v>
      </c>
      <c r="AS9" s="1">
        <f t="shared" si="14"/>
        <v>5405.405405405405</v>
      </c>
      <c r="AT9" s="1">
        <f t="shared" si="14"/>
        <v>5405.405405405405</v>
      </c>
      <c r="AU9" s="1">
        <f t="shared" si="14"/>
        <v>5405.405405405405</v>
      </c>
      <c r="AV9" s="1">
        <f t="shared" si="14"/>
        <v>5405.405405405405</v>
      </c>
      <c r="AW9" s="1">
        <f t="shared" si="14"/>
        <v>5405.405405405405</v>
      </c>
      <c r="AX9" s="1">
        <f t="shared" si="14"/>
        <v>5405.405405405405</v>
      </c>
      <c r="AY9" s="1">
        <f t="shared" si="14"/>
        <v>5405.405405405405</v>
      </c>
      <c r="AZ9" s="1">
        <f t="shared" si="14"/>
        <v>5405.405405405405</v>
      </c>
      <c r="BA9" s="1">
        <f t="shared" si="14"/>
        <v>5405.405405405405</v>
      </c>
      <c r="BB9" s="1">
        <f t="shared" si="14"/>
        <v>5405.405405405405</v>
      </c>
      <c r="BC9" s="1">
        <f t="shared" si="14"/>
        <v>5405.405405405405</v>
      </c>
      <c r="BD9" s="1">
        <f t="shared" si="14"/>
        <v>5405.405405405405</v>
      </c>
      <c r="BE9" s="1">
        <f t="shared" si="14"/>
        <v>5405.405405405405</v>
      </c>
      <c r="BF9" s="1">
        <f t="shared" si="14"/>
        <v>5405.405405405405</v>
      </c>
      <c r="BG9" s="1">
        <f t="shared" si="14"/>
        <v>5405.405405405405</v>
      </c>
      <c r="BH9" s="1">
        <f t="shared" si="14"/>
        <v>5405.405405405405</v>
      </c>
      <c r="BI9" s="1">
        <f t="shared" si="14"/>
        <v>5405.405405405405</v>
      </c>
      <c r="BJ9" s="1">
        <f t="shared" si="14"/>
        <v>5405.405405405405</v>
      </c>
    </row>
    <row r="10" spans="1:63" customFormat="1" x14ac:dyDescent="0.2">
      <c r="A10" s="110"/>
      <c r="B10" s="117"/>
      <c r="C10" s="118"/>
      <c r="D10" s="118"/>
      <c r="E10" s="118"/>
      <c r="F10" s="118"/>
      <c r="G10" s="118"/>
    </row>
    <row r="11" spans="1:63" s="103" customFormat="1" x14ac:dyDescent="0.2">
      <c r="A11" s="117"/>
      <c r="B11" s="117" t="s">
        <v>9</v>
      </c>
      <c r="C11" s="118">
        <v>14</v>
      </c>
      <c r="D11" s="118">
        <v>10</v>
      </c>
      <c r="E11" s="118">
        <v>13</v>
      </c>
      <c r="F11" s="118">
        <v>15</v>
      </c>
      <c r="G11" s="118">
        <v>20</v>
      </c>
      <c r="H11" s="103">
        <f t="shared" ref="H11:N11" si="15">G11</f>
        <v>20</v>
      </c>
      <c r="I11" s="103">
        <f t="shared" si="15"/>
        <v>20</v>
      </c>
      <c r="J11" s="103">
        <f t="shared" si="15"/>
        <v>20</v>
      </c>
      <c r="K11" s="103">
        <f t="shared" si="15"/>
        <v>20</v>
      </c>
      <c r="L11" s="103">
        <f t="shared" si="15"/>
        <v>20</v>
      </c>
      <c r="M11" s="103">
        <f t="shared" si="15"/>
        <v>20</v>
      </c>
      <c r="N11" s="103">
        <f t="shared" si="15"/>
        <v>20</v>
      </c>
      <c r="O11" s="103">
        <f t="shared" ref="O11:BJ11" si="16">N11</f>
        <v>20</v>
      </c>
      <c r="P11" s="103">
        <f t="shared" si="16"/>
        <v>20</v>
      </c>
      <c r="Q11" s="103">
        <f t="shared" si="16"/>
        <v>20</v>
      </c>
      <c r="R11" s="103">
        <f t="shared" si="16"/>
        <v>20</v>
      </c>
      <c r="S11" s="103">
        <f t="shared" si="16"/>
        <v>20</v>
      </c>
      <c r="T11" s="103">
        <f t="shared" si="16"/>
        <v>20</v>
      </c>
      <c r="U11" s="103">
        <f t="shared" si="16"/>
        <v>20</v>
      </c>
      <c r="V11" s="103">
        <f t="shared" si="16"/>
        <v>20</v>
      </c>
      <c r="W11" s="103">
        <f t="shared" si="16"/>
        <v>20</v>
      </c>
      <c r="X11" s="103">
        <f t="shared" si="16"/>
        <v>20</v>
      </c>
      <c r="Y11" s="103">
        <f t="shared" si="16"/>
        <v>20</v>
      </c>
      <c r="Z11" s="103">
        <f t="shared" si="16"/>
        <v>20</v>
      </c>
      <c r="AA11" s="103">
        <f t="shared" si="16"/>
        <v>20</v>
      </c>
      <c r="AB11" s="103">
        <f t="shared" si="16"/>
        <v>20</v>
      </c>
      <c r="AC11" s="103">
        <f t="shared" si="16"/>
        <v>20</v>
      </c>
      <c r="AD11" s="103">
        <f t="shared" si="16"/>
        <v>20</v>
      </c>
      <c r="AE11" s="103">
        <f t="shared" si="16"/>
        <v>20</v>
      </c>
      <c r="AF11" s="103">
        <f t="shared" si="16"/>
        <v>20</v>
      </c>
      <c r="AG11" s="103">
        <f t="shared" si="16"/>
        <v>20</v>
      </c>
      <c r="AH11" s="103">
        <f t="shared" si="16"/>
        <v>20</v>
      </c>
      <c r="AI11" s="103">
        <f t="shared" si="16"/>
        <v>20</v>
      </c>
      <c r="AJ11" s="103">
        <f t="shared" si="16"/>
        <v>20</v>
      </c>
      <c r="AK11" s="103">
        <f t="shared" si="16"/>
        <v>20</v>
      </c>
      <c r="AL11" s="103">
        <f t="shared" si="16"/>
        <v>20</v>
      </c>
      <c r="AM11" s="103">
        <f t="shared" si="16"/>
        <v>20</v>
      </c>
      <c r="AN11" s="103">
        <f t="shared" si="16"/>
        <v>20</v>
      </c>
      <c r="AO11" s="103">
        <f t="shared" si="16"/>
        <v>20</v>
      </c>
      <c r="AP11" s="103">
        <f t="shared" si="16"/>
        <v>20</v>
      </c>
      <c r="AQ11" s="103">
        <f t="shared" si="16"/>
        <v>20</v>
      </c>
      <c r="AR11" s="103">
        <f t="shared" si="16"/>
        <v>20</v>
      </c>
      <c r="AS11" s="103">
        <f t="shared" si="16"/>
        <v>20</v>
      </c>
      <c r="AT11" s="103">
        <f t="shared" si="16"/>
        <v>20</v>
      </c>
      <c r="AU11" s="103">
        <f t="shared" si="16"/>
        <v>20</v>
      </c>
      <c r="AV11" s="103">
        <f t="shared" si="16"/>
        <v>20</v>
      </c>
      <c r="AW11" s="103">
        <f t="shared" si="16"/>
        <v>20</v>
      </c>
      <c r="AX11" s="103">
        <f t="shared" si="16"/>
        <v>20</v>
      </c>
      <c r="AY11" s="103">
        <f t="shared" si="16"/>
        <v>20</v>
      </c>
      <c r="AZ11" s="103">
        <f t="shared" si="16"/>
        <v>20</v>
      </c>
      <c r="BA11" s="103">
        <f t="shared" si="16"/>
        <v>20</v>
      </c>
      <c r="BB11" s="103">
        <f t="shared" si="16"/>
        <v>20</v>
      </c>
      <c r="BC11" s="103">
        <f t="shared" si="16"/>
        <v>20</v>
      </c>
      <c r="BD11" s="103">
        <f t="shared" si="16"/>
        <v>20</v>
      </c>
      <c r="BE11" s="103">
        <f t="shared" si="16"/>
        <v>20</v>
      </c>
      <c r="BF11" s="103">
        <f t="shared" si="16"/>
        <v>20</v>
      </c>
      <c r="BG11" s="103">
        <f t="shared" si="16"/>
        <v>20</v>
      </c>
      <c r="BH11" s="103">
        <f t="shared" si="16"/>
        <v>20</v>
      </c>
      <c r="BI11" s="103">
        <f t="shared" si="16"/>
        <v>20</v>
      </c>
      <c r="BJ11" s="103">
        <f t="shared" si="16"/>
        <v>20</v>
      </c>
    </row>
    <row r="12" spans="1:63" s="109" customFormat="1" x14ac:dyDescent="0.2">
      <c r="A12" s="119"/>
      <c r="B12" s="119" t="s">
        <v>201</v>
      </c>
      <c r="C12" s="122">
        <f>C13/C11</f>
        <v>4.6428571428571432</v>
      </c>
      <c r="D12" s="122">
        <f t="shared" ref="D12:G12" si="17">D13/D11</f>
        <v>4.8</v>
      </c>
      <c r="E12" s="122">
        <f t="shared" si="17"/>
        <v>5.0769230769230766</v>
      </c>
      <c r="F12" s="122">
        <f t="shared" si="17"/>
        <v>5.1333333333333337</v>
      </c>
      <c r="G12" s="122">
        <f t="shared" si="17"/>
        <v>4.9000000000000004</v>
      </c>
      <c r="H12" s="109">
        <f t="shared" ref="H12:AM12" si="18">VIsitsPerFBPicturePost</f>
        <v>5</v>
      </c>
      <c r="I12" s="109">
        <f t="shared" si="18"/>
        <v>5</v>
      </c>
      <c r="J12" s="109">
        <f t="shared" si="18"/>
        <v>5</v>
      </c>
      <c r="K12" s="109">
        <f t="shared" si="18"/>
        <v>5</v>
      </c>
      <c r="L12" s="109">
        <f t="shared" si="18"/>
        <v>5</v>
      </c>
      <c r="M12" s="109">
        <f t="shared" si="18"/>
        <v>5</v>
      </c>
      <c r="N12" s="109">
        <f t="shared" si="18"/>
        <v>5</v>
      </c>
      <c r="O12" s="109">
        <f t="shared" si="18"/>
        <v>5</v>
      </c>
      <c r="P12" s="109">
        <f t="shared" si="18"/>
        <v>5</v>
      </c>
      <c r="Q12" s="109">
        <f t="shared" si="18"/>
        <v>5</v>
      </c>
      <c r="R12" s="109">
        <f t="shared" si="18"/>
        <v>5</v>
      </c>
      <c r="S12" s="109">
        <f t="shared" si="18"/>
        <v>5</v>
      </c>
      <c r="T12" s="109">
        <f t="shared" si="18"/>
        <v>5</v>
      </c>
      <c r="U12" s="109">
        <f t="shared" si="18"/>
        <v>5</v>
      </c>
      <c r="V12" s="109">
        <f t="shared" si="18"/>
        <v>5</v>
      </c>
      <c r="W12" s="109">
        <f t="shared" si="18"/>
        <v>5</v>
      </c>
      <c r="X12" s="109">
        <f t="shared" si="18"/>
        <v>5</v>
      </c>
      <c r="Y12" s="109">
        <f t="shared" si="18"/>
        <v>5</v>
      </c>
      <c r="Z12" s="109">
        <f t="shared" si="18"/>
        <v>5</v>
      </c>
      <c r="AA12" s="109">
        <f t="shared" si="18"/>
        <v>5</v>
      </c>
      <c r="AB12" s="109">
        <f t="shared" si="18"/>
        <v>5</v>
      </c>
      <c r="AC12" s="109">
        <f t="shared" si="18"/>
        <v>5</v>
      </c>
      <c r="AD12" s="109">
        <f t="shared" si="18"/>
        <v>5</v>
      </c>
      <c r="AE12" s="109">
        <f t="shared" si="18"/>
        <v>5</v>
      </c>
      <c r="AF12" s="109">
        <f t="shared" si="18"/>
        <v>5</v>
      </c>
      <c r="AG12" s="109">
        <f t="shared" si="18"/>
        <v>5</v>
      </c>
      <c r="AH12" s="109">
        <f t="shared" si="18"/>
        <v>5</v>
      </c>
      <c r="AI12" s="109">
        <f t="shared" si="18"/>
        <v>5</v>
      </c>
      <c r="AJ12" s="109">
        <f t="shared" si="18"/>
        <v>5</v>
      </c>
      <c r="AK12" s="109">
        <f t="shared" si="18"/>
        <v>5</v>
      </c>
      <c r="AL12" s="109">
        <f t="shared" si="18"/>
        <v>5</v>
      </c>
      <c r="AM12" s="109">
        <f t="shared" si="18"/>
        <v>5</v>
      </c>
      <c r="AN12" s="109">
        <f t="shared" ref="AN12:BJ12" si="19">VIsitsPerFBPicturePost</f>
        <v>5</v>
      </c>
      <c r="AO12" s="109">
        <f t="shared" si="19"/>
        <v>5</v>
      </c>
      <c r="AP12" s="109">
        <f t="shared" si="19"/>
        <v>5</v>
      </c>
      <c r="AQ12" s="109">
        <f t="shared" si="19"/>
        <v>5</v>
      </c>
      <c r="AR12" s="109">
        <f t="shared" si="19"/>
        <v>5</v>
      </c>
      <c r="AS12" s="109">
        <f t="shared" si="19"/>
        <v>5</v>
      </c>
      <c r="AT12" s="109">
        <f t="shared" si="19"/>
        <v>5</v>
      </c>
      <c r="AU12" s="109">
        <f t="shared" si="19"/>
        <v>5</v>
      </c>
      <c r="AV12" s="109">
        <f t="shared" si="19"/>
        <v>5</v>
      </c>
      <c r="AW12" s="109">
        <f t="shared" si="19"/>
        <v>5</v>
      </c>
      <c r="AX12" s="109">
        <f t="shared" si="19"/>
        <v>5</v>
      </c>
      <c r="AY12" s="109">
        <f t="shared" si="19"/>
        <v>5</v>
      </c>
      <c r="AZ12" s="109">
        <f t="shared" si="19"/>
        <v>5</v>
      </c>
      <c r="BA12" s="109">
        <f t="shared" si="19"/>
        <v>5</v>
      </c>
      <c r="BB12" s="109">
        <f t="shared" si="19"/>
        <v>5</v>
      </c>
      <c r="BC12" s="109">
        <f t="shared" si="19"/>
        <v>5</v>
      </c>
      <c r="BD12" s="109">
        <f t="shared" si="19"/>
        <v>5</v>
      </c>
      <c r="BE12" s="109">
        <f t="shared" si="19"/>
        <v>5</v>
      </c>
      <c r="BF12" s="109">
        <f t="shared" si="19"/>
        <v>5</v>
      </c>
      <c r="BG12" s="109">
        <f t="shared" si="19"/>
        <v>5</v>
      </c>
      <c r="BH12" s="109">
        <f t="shared" si="19"/>
        <v>5</v>
      </c>
      <c r="BI12" s="109">
        <f t="shared" si="19"/>
        <v>5</v>
      </c>
      <c r="BJ12" s="109">
        <f t="shared" si="19"/>
        <v>5</v>
      </c>
    </row>
    <row r="13" spans="1:63" s="103" customFormat="1" x14ac:dyDescent="0.2">
      <c r="A13" s="110"/>
      <c r="B13" s="117" t="s">
        <v>163</v>
      </c>
      <c r="C13" s="118">
        <v>65</v>
      </c>
      <c r="D13" s="118">
        <v>48</v>
      </c>
      <c r="E13" s="118">
        <v>66</v>
      </c>
      <c r="F13" s="118">
        <v>77</v>
      </c>
      <c r="G13" s="118">
        <v>98</v>
      </c>
      <c r="H13" s="103">
        <f>H11*H12</f>
        <v>100</v>
      </c>
      <c r="I13" s="103">
        <f t="shared" ref="I13:BJ13" si="20">I11*I12</f>
        <v>100</v>
      </c>
      <c r="J13" s="103">
        <f t="shared" si="20"/>
        <v>100</v>
      </c>
      <c r="K13" s="103">
        <f t="shared" si="20"/>
        <v>100</v>
      </c>
      <c r="L13" s="103">
        <f t="shared" si="20"/>
        <v>100</v>
      </c>
      <c r="M13" s="103">
        <f t="shared" si="20"/>
        <v>100</v>
      </c>
      <c r="N13" s="103">
        <f t="shared" si="20"/>
        <v>100</v>
      </c>
      <c r="O13" s="103">
        <f t="shared" si="20"/>
        <v>100</v>
      </c>
      <c r="P13" s="103">
        <f t="shared" si="20"/>
        <v>100</v>
      </c>
      <c r="Q13" s="103">
        <f t="shared" si="20"/>
        <v>100</v>
      </c>
      <c r="R13" s="103">
        <f t="shared" si="20"/>
        <v>100</v>
      </c>
      <c r="S13" s="103">
        <f t="shared" si="20"/>
        <v>100</v>
      </c>
      <c r="T13" s="103">
        <f t="shared" si="20"/>
        <v>100</v>
      </c>
      <c r="U13" s="103">
        <f t="shared" si="20"/>
        <v>100</v>
      </c>
      <c r="V13" s="103">
        <f t="shared" si="20"/>
        <v>100</v>
      </c>
      <c r="W13" s="103">
        <f t="shared" si="20"/>
        <v>100</v>
      </c>
      <c r="X13" s="103">
        <f t="shared" si="20"/>
        <v>100</v>
      </c>
      <c r="Y13" s="103">
        <f t="shared" si="20"/>
        <v>100</v>
      </c>
      <c r="Z13" s="103">
        <f t="shared" si="20"/>
        <v>100</v>
      </c>
      <c r="AA13" s="103">
        <f t="shared" si="20"/>
        <v>100</v>
      </c>
      <c r="AB13" s="103">
        <f t="shared" si="20"/>
        <v>100</v>
      </c>
      <c r="AC13" s="103">
        <f t="shared" si="20"/>
        <v>100</v>
      </c>
      <c r="AD13" s="103">
        <f t="shared" si="20"/>
        <v>100</v>
      </c>
      <c r="AE13" s="103">
        <f t="shared" si="20"/>
        <v>100</v>
      </c>
      <c r="AF13" s="103">
        <f t="shared" si="20"/>
        <v>100</v>
      </c>
      <c r="AG13" s="103">
        <f t="shared" si="20"/>
        <v>100</v>
      </c>
      <c r="AH13" s="103">
        <f t="shared" si="20"/>
        <v>100</v>
      </c>
      <c r="AI13" s="103">
        <f t="shared" si="20"/>
        <v>100</v>
      </c>
      <c r="AJ13" s="103">
        <f t="shared" si="20"/>
        <v>100</v>
      </c>
      <c r="AK13" s="103">
        <f t="shared" si="20"/>
        <v>100</v>
      </c>
      <c r="AL13" s="103">
        <f t="shared" si="20"/>
        <v>100</v>
      </c>
      <c r="AM13" s="103">
        <f t="shared" si="20"/>
        <v>100</v>
      </c>
      <c r="AN13" s="103">
        <f t="shared" si="20"/>
        <v>100</v>
      </c>
      <c r="AO13" s="103">
        <f t="shared" si="20"/>
        <v>100</v>
      </c>
      <c r="AP13" s="103">
        <f t="shared" si="20"/>
        <v>100</v>
      </c>
      <c r="AQ13" s="103">
        <f t="shared" si="20"/>
        <v>100</v>
      </c>
      <c r="AR13" s="103">
        <f t="shared" si="20"/>
        <v>100</v>
      </c>
      <c r="AS13" s="103">
        <f t="shared" si="20"/>
        <v>100</v>
      </c>
      <c r="AT13" s="103">
        <f t="shared" si="20"/>
        <v>100</v>
      </c>
      <c r="AU13" s="103">
        <f t="shared" si="20"/>
        <v>100</v>
      </c>
      <c r="AV13" s="103">
        <f t="shared" si="20"/>
        <v>100</v>
      </c>
      <c r="AW13" s="103">
        <f t="shared" si="20"/>
        <v>100</v>
      </c>
      <c r="AX13" s="103">
        <f t="shared" si="20"/>
        <v>100</v>
      </c>
      <c r="AY13" s="103">
        <f t="shared" si="20"/>
        <v>100</v>
      </c>
      <c r="AZ13" s="103">
        <f t="shared" si="20"/>
        <v>100</v>
      </c>
      <c r="BA13" s="103">
        <f t="shared" si="20"/>
        <v>100</v>
      </c>
      <c r="BB13" s="103">
        <f t="shared" si="20"/>
        <v>100</v>
      </c>
      <c r="BC13" s="103">
        <f t="shared" si="20"/>
        <v>100</v>
      </c>
      <c r="BD13" s="103">
        <f t="shared" si="20"/>
        <v>100</v>
      </c>
      <c r="BE13" s="103">
        <f t="shared" si="20"/>
        <v>100</v>
      </c>
      <c r="BF13" s="103">
        <f t="shared" si="20"/>
        <v>100</v>
      </c>
      <c r="BG13" s="103">
        <f t="shared" si="20"/>
        <v>100</v>
      </c>
      <c r="BH13" s="103">
        <f t="shared" si="20"/>
        <v>100</v>
      </c>
      <c r="BI13" s="103">
        <f t="shared" si="20"/>
        <v>100</v>
      </c>
      <c r="BJ13" s="103">
        <f t="shared" si="20"/>
        <v>100</v>
      </c>
    </row>
    <row r="14" spans="1:63" customFormat="1" x14ac:dyDescent="0.2">
      <c r="A14" s="110"/>
      <c r="B14" s="117"/>
      <c r="C14" s="118"/>
      <c r="D14" s="118"/>
      <c r="E14" s="118"/>
      <c r="F14" s="118"/>
      <c r="G14" s="118"/>
    </row>
    <row r="15" spans="1:63" s="103" customFormat="1" x14ac:dyDescent="0.2">
      <c r="A15" s="117"/>
      <c r="B15" s="117" t="s">
        <v>10</v>
      </c>
      <c r="C15" s="118">
        <v>2</v>
      </c>
      <c r="D15" s="118">
        <v>3</v>
      </c>
      <c r="E15" s="118">
        <v>5</v>
      </c>
      <c r="F15" s="118">
        <v>10</v>
      </c>
      <c r="G15" s="118">
        <v>12</v>
      </c>
      <c r="H15" s="103">
        <f t="shared" ref="H15:N15" si="21">G15</f>
        <v>12</v>
      </c>
      <c r="I15" s="103">
        <f t="shared" si="21"/>
        <v>12</v>
      </c>
      <c r="J15" s="103">
        <f t="shared" si="21"/>
        <v>12</v>
      </c>
      <c r="K15" s="103">
        <f t="shared" si="21"/>
        <v>12</v>
      </c>
      <c r="L15" s="103">
        <f t="shared" si="21"/>
        <v>12</v>
      </c>
      <c r="M15" s="103">
        <f t="shared" si="21"/>
        <v>12</v>
      </c>
      <c r="N15" s="103">
        <f t="shared" si="21"/>
        <v>12</v>
      </c>
      <c r="O15" s="103">
        <f t="shared" ref="O15:BJ15" si="22">N15</f>
        <v>12</v>
      </c>
      <c r="P15" s="103">
        <f t="shared" si="22"/>
        <v>12</v>
      </c>
      <c r="Q15" s="103">
        <f t="shared" si="22"/>
        <v>12</v>
      </c>
      <c r="R15" s="103">
        <f t="shared" si="22"/>
        <v>12</v>
      </c>
      <c r="S15" s="103">
        <f t="shared" si="22"/>
        <v>12</v>
      </c>
      <c r="T15" s="103">
        <f t="shared" si="22"/>
        <v>12</v>
      </c>
      <c r="U15" s="103">
        <f t="shared" si="22"/>
        <v>12</v>
      </c>
      <c r="V15" s="103">
        <f t="shared" si="22"/>
        <v>12</v>
      </c>
      <c r="W15" s="103">
        <f t="shared" si="22"/>
        <v>12</v>
      </c>
      <c r="X15" s="103">
        <f t="shared" si="22"/>
        <v>12</v>
      </c>
      <c r="Y15" s="103">
        <f t="shared" si="22"/>
        <v>12</v>
      </c>
      <c r="Z15" s="103">
        <f t="shared" si="22"/>
        <v>12</v>
      </c>
      <c r="AA15" s="103">
        <f t="shared" si="22"/>
        <v>12</v>
      </c>
      <c r="AB15" s="103">
        <f t="shared" si="22"/>
        <v>12</v>
      </c>
      <c r="AC15" s="103">
        <f t="shared" si="22"/>
        <v>12</v>
      </c>
      <c r="AD15" s="103">
        <f t="shared" si="22"/>
        <v>12</v>
      </c>
      <c r="AE15" s="103">
        <f t="shared" si="22"/>
        <v>12</v>
      </c>
      <c r="AF15" s="103">
        <f t="shared" si="22"/>
        <v>12</v>
      </c>
      <c r="AG15" s="103">
        <f t="shared" si="22"/>
        <v>12</v>
      </c>
      <c r="AH15" s="103">
        <f t="shared" si="22"/>
        <v>12</v>
      </c>
      <c r="AI15" s="103">
        <f t="shared" si="22"/>
        <v>12</v>
      </c>
      <c r="AJ15" s="103">
        <f t="shared" si="22"/>
        <v>12</v>
      </c>
      <c r="AK15" s="103">
        <f t="shared" si="22"/>
        <v>12</v>
      </c>
      <c r="AL15" s="103">
        <f t="shared" si="22"/>
        <v>12</v>
      </c>
      <c r="AM15" s="103">
        <f t="shared" si="22"/>
        <v>12</v>
      </c>
      <c r="AN15" s="103">
        <f t="shared" si="22"/>
        <v>12</v>
      </c>
      <c r="AO15" s="103">
        <f t="shared" si="22"/>
        <v>12</v>
      </c>
      <c r="AP15" s="103">
        <f t="shared" si="22"/>
        <v>12</v>
      </c>
      <c r="AQ15" s="103">
        <f t="shared" si="22"/>
        <v>12</v>
      </c>
      <c r="AR15" s="103">
        <f t="shared" si="22"/>
        <v>12</v>
      </c>
      <c r="AS15" s="103">
        <f t="shared" si="22"/>
        <v>12</v>
      </c>
      <c r="AT15" s="103">
        <f t="shared" si="22"/>
        <v>12</v>
      </c>
      <c r="AU15" s="103">
        <f t="shared" si="22"/>
        <v>12</v>
      </c>
      <c r="AV15" s="103">
        <f t="shared" si="22"/>
        <v>12</v>
      </c>
      <c r="AW15" s="103">
        <f t="shared" si="22"/>
        <v>12</v>
      </c>
      <c r="AX15" s="103">
        <f t="shared" si="22"/>
        <v>12</v>
      </c>
      <c r="AY15" s="103">
        <f t="shared" si="22"/>
        <v>12</v>
      </c>
      <c r="AZ15" s="103">
        <f t="shared" si="22"/>
        <v>12</v>
      </c>
      <c r="BA15" s="103">
        <f t="shared" si="22"/>
        <v>12</v>
      </c>
      <c r="BB15" s="103">
        <f t="shared" si="22"/>
        <v>12</v>
      </c>
      <c r="BC15" s="103">
        <f t="shared" si="22"/>
        <v>12</v>
      </c>
      <c r="BD15" s="103">
        <f t="shared" si="22"/>
        <v>12</v>
      </c>
      <c r="BE15" s="103">
        <f t="shared" si="22"/>
        <v>12</v>
      </c>
      <c r="BF15" s="103">
        <f t="shared" si="22"/>
        <v>12</v>
      </c>
      <c r="BG15" s="103">
        <f t="shared" si="22"/>
        <v>12</v>
      </c>
      <c r="BH15" s="103">
        <f t="shared" si="22"/>
        <v>12</v>
      </c>
      <c r="BI15" s="103">
        <f t="shared" si="22"/>
        <v>12</v>
      </c>
      <c r="BJ15" s="103">
        <f t="shared" si="22"/>
        <v>12</v>
      </c>
    </row>
    <row r="16" spans="1:63" s="109" customFormat="1" x14ac:dyDescent="0.2">
      <c r="A16" s="119"/>
      <c r="B16" s="119" t="s">
        <v>202</v>
      </c>
      <c r="C16" s="122">
        <f>C17/C15</f>
        <v>22.5</v>
      </c>
      <c r="D16" s="122">
        <f t="shared" ref="D16:G16" si="23">D17/D15</f>
        <v>29.333333333333332</v>
      </c>
      <c r="E16" s="122">
        <f t="shared" si="23"/>
        <v>24.2</v>
      </c>
      <c r="F16" s="122">
        <f t="shared" si="23"/>
        <v>23.7</v>
      </c>
      <c r="G16" s="122">
        <f t="shared" si="23"/>
        <v>24.666666666666668</v>
      </c>
      <c r="H16" s="109">
        <f t="shared" ref="H16:AM16" si="24">VIsitsPerFBVideoPost</f>
        <v>25</v>
      </c>
      <c r="I16" s="109">
        <f t="shared" si="24"/>
        <v>25</v>
      </c>
      <c r="J16" s="109">
        <f t="shared" si="24"/>
        <v>25</v>
      </c>
      <c r="K16" s="109">
        <f t="shared" si="24"/>
        <v>25</v>
      </c>
      <c r="L16" s="109">
        <f t="shared" si="24"/>
        <v>25</v>
      </c>
      <c r="M16" s="109">
        <f t="shared" si="24"/>
        <v>25</v>
      </c>
      <c r="N16" s="109">
        <f t="shared" si="24"/>
        <v>25</v>
      </c>
      <c r="O16" s="109">
        <f t="shared" si="24"/>
        <v>25</v>
      </c>
      <c r="P16" s="109">
        <f t="shared" si="24"/>
        <v>25</v>
      </c>
      <c r="Q16" s="109">
        <f t="shared" si="24"/>
        <v>25</v>
      </c>
      <c r="R16" s="109">
        <f t="shared" si="24"/>
        <v>25</v>
      </c>
      <c r="S16" s="109">
        <f t="shared" si="24"/>
        <v>25</v>
      </c>
      <c r="T16" s="109">
        <f t="shared" si="24"/>
        <v>25</v>
      </c>
      <c r="U16" s="109">
        <f t="shared" si="24"/>
        <v>25</v>
      </c>
      <c r="V16" s="109">
        <f t="shared" si="24"/>
        <v>25</v>
      </c>
      <c r="W16" s="109">
        <f t="shared" si="24"/>
        <v>25</v>
      </c>
      <c r="X16" s="109">
        <f t="shared" si="24"/>
        <v>25</v>
      </c>
      <c r="Y16" s="109">
        <f t="shared" si="24"/>
        <v>25</v>
      </c>
      <c r="Z16" s="109">
        <f t="shared" si="24"/>
        <v>25</v>
      </c>
      <c r="AA16" s="109">
        <f t="shared" si="24"/>
        <v>25</v>
      </c>
      <c r="AB16" s="109">
        <f t="shared" si="24"/>
        <v>25</v>
      </c>
      <c r="AC16" s="109">
        <f t="shared" si="24"/>
        <v>25</v>
      </c>
      <c r="AD16" s="109">
        <f t="shared" si="24"/>
        <v>25</v>
      </c>
      <c r="AE16" s="109">
        <f t="shared" si="24"/>
        <v>25</v>
      </c>
      <c r="AF16" s="109">
        <f t="shared" si="24"/>
        <v>25</v>
      </c>
      <c r="AG16" s="109">
        <f t="shared" si="24"/>
        <v>25</v>
      </c>
      <c r="AH16" s="109">
        <f t="shared" si="24"/>
        <v>25</v>
      </c>
      <c r="AI16" s="109">
        <f t="shared" si="24"/>
        <v>25</v>
      </c>
      <c r="AJ16" s="109">
        <f t="shared" si="24"/>
        <v>25</v>
      </c>
      <c r="AK16" s="109">
        <f t="shared" si="24"/>
        <v>25</v>
      </c>
      <c r="AL16" s="109">
        <f t="shared" si="24"/>
        <v>25</v>
      </c>
      <c r="AM16" s="109">
        <f t="shared" si="24"/>
        <v>25</v>
      </c>
      <c r="AN16" s="109">
        <f t="shared" ref="AN16:BJ16" si="25">VIsitsPerFBVideoPost</f>
        <v>25</v>
      </c>
      <c r="AO16" s="109">
        <f t="shared" si="25"/>
        <v>25</v>
      </c>
      <c r="AP16" s="109">
        <f t="shared" si="25"/>
        <v>25</v>
      </c>
      <c r="AQ16" s="109">
        <f t="shared" si="25"/>
        <v>25</v>
      </c>
      <c r="AR16" s="109">
        <f t="shared" si="25"/>
        <v>25</v>
      </c>
      <c r="AS16" s="109">
        <f t="shared" si="25"/>
        <v>25</v>
      </c>
      <c r="AT16" s="109">
        <f t="shared" si="25"/>
        <v>25</v>
      </c>
      <c r="AU16" s="109">
        <f t="shared" si="25"/>
        <v>25</v>
      </c>
      <c r="AV16" s="109">
        <f t="shared" si="25"/>
        <v>25</v>
      </c>
      <c r="AW16" s="109">
        <f t="shared" si="25"/>
        <v>25</v>
      </c>
      <c r="AX16" s="109">
        <f t="shared" si="25"/>
        <v>25</v>
      </c>
      <c r="AY16" s="109">
        <f t="shared" si="25"/>
        <v>25</v>
      </c>
      <c r="AZ16" s="109">
        <f t="shared" si="25"/>
        <v>25</v>
      </c>
      <c r="BA16" s="109">
        <f t="shared" si="25"/>
        <v>25</v>
      </c>
      <c r="BB16" s="109">
        <f t="shared" si="25"/>
        <v>25</v>
      </c>
      <c r="BC16" s="109">
        <f t="shared" si="25"/>
        <v>25</v>
      </c>
      <c r="BD16" s="109">
        <f t="shared" si="25"/>
        <v>25</v>
      </c>
      <c r="BE16" s="109">
        <f t="shared" si="25"/>
        <v>25</v>
      </c>
      <c r="BF16" s="109">
        <f t="shared" si="25"/>
        <v>25</v>
      </c>
      <c r="BG16" s="109">
        <f t="shared" si="25"/>
        <v>25</v>
      </c>
      <c r="BH16" s="109">
        <f t="shared" si="25"/>
        <v>25</v>
      </c>
      <c r="BI16" s="109">
        <f t="shared" si="25"/>
        <v>25</v>
      </c>
      <c r="BJ16" s="109">
        <f t="shared" si="25"/>
        <v>25</v>
      </c>
    </row>
    <row r="17" spans="1:62" customFormat="1" x14ac:dyDescent="0.2">
      <c r="A17" s="110"/>
      <c r="B17" s="117" t="s">
        <v>164</v>
      </c>
      <c r="C17" s="118">
        <v>45</v>
      </c>
      <c r="D17" s="118">
        <v>88</v>
      </c>
      <c r="E17" s="118">
        <v>121</v>
      </c>
      <c r="F17" s="118">
        <v>237</v>
      </c>
      <c r="G17" s="118">
        <v>296</v>
      </c>
      <c r="H17">
        <f>H15*H16</f>
        <v>300</v>
      </c>
      <c r="I17">
        <f t="shared" ref="I17:BJ17" si="26">I15*I16</f>
        <v>300</v>
      </c>
      <c r="J17">
        <f t="shared" si="26"/>
        <v>300</v>
      </c>
      <c r="K17">
        <f t="shared" si="26"/>
        <v>300</v>
      </c>
      <c r="L17">
        <f t="shared" si="26"/>
        <v>300</v>
      </c>
      <c r="M17">
        <f t="shared" si="26"/>
        <v>300</v>
      </c>
      <c r="N17">
        <f t="shared" si="26"/>
        <v>300</v>
      </c>
      <c r="O17">
        <f t="shared" si="26"/>
        <v>300</v>
      </c>
      <c r="P17">
        <f t="shared" si="26"/>
        <v>300</v>
      </c>
      <c r="Q17">
        <f t="shared" si="26"/>
        <v>300</v>
      </c>
      <c r="R17">
        <f t="shared" si="26"/>
        <v>300</v>
      </c>
      <c r="S17">
        <f t="shared" si="26"/>
        <v>300</v>
      </c>
      <c r="T17">
        <f t="shared" si="26"/>
        <v>300</v>
      </c>
      <c r="U17">
        <f t="shared" si="26"/>
        <v>300</v>
      </c>
      <c r="V17">
        <f t="shared" si="26"/>
        <v>300</v>
      </c>
      <c r="W17">
        <f t="shared" si="26"/>
        <v>300</v>
      </c>
      <c r="X17">
        <f t="shared" si="26"/>
        <v>300</v>
      </c>
      <c r="Y17">
        <f t="shared" si="26"/>
        <v>300</v>
      </c>
      <c r="Z17">
        <f t="shared" si="26"/>
        <v>300</v>
      </c>
      <c r="AA17">
        <f t="shared" si="26"/>
        <v>300</v>
      </c>
      <c r="AB17">
        <f t="shared" si="26"/>
        <v>300</v>
      </c>
      <c r="AC17">
        <f t="shared" si="26"/>
        <v>300</v>
      </c>
      <c r="AD17">
        <f t="shared" si="26"/>
        <v>300</v>
      </c>
      <c r="AE17">
        <f t="shared" si="26"/>
        <v>300</v>
      </c>
      <c r="AF17">
        <f t="shared" si="26"/>
        <v>300</v>
      </c>
      <c r="AG17">
        <f t="shared" si="26"/>
        <v>300</v>
      </c>
      <c r="AH17">
        <f t="shared" si="26"/>
        <v>300</v>
      </c>
      <c r="AI17">
        <f t="shared" si="26"/>
        <v>300</v>
      </c>
      <c r="AJ17">
        <f t="shared" si="26"/>
        <v>300</v>
      </c>
      <c r="AK17">
        <f t="shared" si="26"/>
        <v>300</v>
      </c>
      <c r="AL17">
        <f t="shared" si="26"/>
        <v>300</v>
      </c>
      <c r="AM17">
        <f t="shared" si="26"/>
        <v>300</v>
      </c>
      <c r="AN17">
        <f t="shared" si="26"/>
        <v>300</v>
      </c>
      <c r="AO17">
        <f t="shared" si="26"/>
        <v>300</v>
      </c>
      <c r="AP17">
        <f t="shared" si="26"/>
        <v>300</v>
      </c>
      <c r="AQ17">
        <f t="shared" si="26"/>
        <v>300</v>
      </c>
      <c r="AR17">
        <f t="shared" si="26"/>
        <v>300</v>
      </c>
      <c r="AS17">
        <f t="shared" si="26"/>
        <v>300</v>
      </c>
      <c r="AT17">
        <f t="shared" si="26"/>
        <v>300</v>
      </c>
      <c r="AU17">
        <f t="shared" si="26"/>
        <v>300</v>
      </c>
      <c r="AV17">
        <f t="shared" si="26"/>
        <v>300</v>
      </c>
      <c r="AW17">
        <f t="shared" si="26"/>
        <v>300</v>
      </c>
      <c r="AX17">
        <f t="shared" si="26"/>
        <v>300</v>
      </c>
      <c r="AY17">
        <f t="shared" si="26"/>
        <v>300</v>
      </c>
      <c r="AZ17">
        <f t="shared" si="26"/>
        <v>300</v>
      </c>
      <c r="BA17">
        <f t="shared" si="26"/>
        <v>300</v>
      </c>
      <c r="BB17">
        <f t="shared" si="26"/>
        <v>300</v>
      </c>
      <c r="BC17">
        <f t="shared" si="26"/>
        <v>300</v>
      </c>
      <c r="BD17">
        <f t="shared" si="26"/>
        <v>300</v>
      </c>
      <c r="BE17">
        <f t="shared" si="26"/>
        <v>300</v>
      </c>
      <c r="BF17">
        <f t="shared" si="26"/>
        <v>300</v>
      </c>
      <c r="BG17">
        <f t="shared" si="26"/>
        <v>300</v>
      </c>
      <c r="BH17">
        <f t="shared" si="26"/>
        <v>300</v>
      </c>
      <c r="BI17">
        <f t="shared" si="26"/>
        <v>300</v>
      </c>
      <c r="BJ17">
        <f t="shared" si="26"/>
        <v>300</v>
      </c>
    </row>
    <row r="18" spans="1:62" s="2" customFormat="1" x14ac:dyDescent="0.2">
      <c r="A18" s="110"/>
      <c r="B18" s="110"/>
      <c r="C18" s="113"/>
      <c r="D18" s="113"/>
      <c r="E18" s="113"/>
      <c r="F18" s="113"/>
      <c r="G18" s="113"/>
    </row>
    <row r="19" spans="1:62" x14ac:dyDescent="0.2">
      <c r="B19" s="110" t="s">
        <v>37</v>
      </c>
      <c r="C19" s="113">
        <v>99</v>
      </c>
      <c r="D19" s="113">
        <v>523</v>
      </c>
      <c r="E19" s="113">
        <v>632</v>
      </c>
      <c r="F19" s="113">
        <v>722</v>
      </c>
      <c r="G19" s="113">
        <v>3929</v>
      </c>
      <c r="H19" s="1">
        <f>DirectTrafficMultiplier*(H5+H9+H13+H17+H20+'Sales Detail'!G13)</f>
        <v>3934.7384504504503</v>
      </c>
      <c r="I19" s="1">
        <f>DirectTrafficMultiplier*(I5+I9+I13+I17+I20+'Sales Detail'!H13)</f>
        <v>4028.9402504504501</v>
      </c>
      <c r="J19" s="1">
        <f>DirectTrafficMultiplier*(J5+J9+J13+J17+J20+'Sales Detail'!I13)</f>
        <v>4126.1602304504504</v>
      </c>
      <c r="K19" s="1">
        <f>DirectTrafficMultiplier*(K5+K9+K13+K17+K20+'Sales Detail'!J13)</f>
        <v>4226.5352084504502</v>
      </c>
      <c r="L19" s="1">
        <f>DirectTrafficMultiplier*(L5+L9+L13+L17+L20+'Sales Detail'!K13)</f>
        <v>4331.2386842504511</v>
      </c>
      <c r="M19" s="1">
        <f>DirectTrafficMultiplier*(M5+M9+M13+M17+M20+'Sales Detail'!L13)</f>
        <v>4440.8355076304506</v>
      </c>
      <c r="N19" s="1">
        <f>DirectTrafficMultiplier*(N5+N9+N13+N17+N20+'Sales Detail'!M13)</f>
        <v>4555.6170133484511</v>
      </c>
      <c r="O19" s="1">
        <f>DirectTrafficMultiplier*(O5+O9+O13+O17+O20+'Sales Detail'!N13)</f>
        <v>4676.5966696382511</v>
      </c>
      <c r="P19" s="1">
        <f>DirectTrafficMultiplier*(P5+P9+P13+P17+P20+'Sales Detail'!O13)</f>
        <v>4804.5262915570311</v>
      </c>
      <c r="Q19" s="1">
        <f>DirectTrafficMultiplier*(Q5+Q9+Q13+Q17+Q20+'Sales Detail'!P13)</f>
        <v>4940.2328756676889</v>
      </c>
      <c r="R19" s="1">
        <f>DirectTrafficMultiplier*(R5+R9+R13+R17+R20+'Sales Detail'!Q13)</f>
        <v>5084.9561181894132</v>
      </c>
      <c r="S19" s="1">
        <f>DirectTrafficMultiplier*(S5+S9+S13+S17+S20+'Sales Detail'!R13)</f>
        <v>5239.3666849633091</v>
      </c>
      <c r="T19" s="1">
        <f>DirectTrafficMultiplier*(T5+T9+T13+T17+T20+'Sales Detail'!S13)</f>
        <v>5404.8953084145951</v>
      </c>
      <c r="U19" s="1">
        <f>DirectTrafficMultiplier*(U5+U9+U13+U17+U20+'Sales Detail'!T13)</f>
        <v>5582.75279421101</v>
      </c>
      <c r="V19" s="1">
        <f>DirectTrafficMultiplier*(V5+V9+V13+V17+V20+'Sales Detail'!U13)</f>
        <v>5774.931028587067</v>
      </c>
      <c r="W19" s="1">
        <f>DirectTrafficMultiplier*(W5+W9+W13+W17+W20+'Sales Detail'!V13)</f>
        <v>5982.2350864007276</v>
      </c>
      <c r="X19" s="1">
        <f>DirectTrafficMultiplier*(X5+X9+X13+X17+X20+'Sales Detail'!W13)</f>
        <v>6206.6065499957558</v>
      </c>
      <c r="Y19" s="1">
        <f>DirectTrafficMultiplier*(Y5+Y9+Y13+Y17+Y20+'Sales Detail'!X13)</f>
        <v>6449.8181599502877</v>
      </c>
      <c r="Z19" s="1">
        <f>DirectTrafficMultiplier*(Z5+Z9+Z13+Z17+Z20+'Sales Detail'!Y13)</f>
        <v>6713.8199309002721</v>
      </c>
      <c r="AA19" s="1">
        <f>DirectTrafficMultiplier*(AA5+AA9+AA13+AA17+AA20+'Sales Detail'!Z13)</f>
        <v>7001.0868789452543</v>
      </c>
      <c r="AB19" s="1">
        <f>DirectTrafficMultiplier*(AB5+AB9+AB13+AB17+AB20+'Sales Detail'!AA13)</f>
        <v>7313.6485217947338</v>
      </c>
      <c r="AC19" s="1">
        <f>DirectTrafficMultiplier*(AC5+AC9+AC13+AC17+AC20+'Sales Detail'!AB13)</f>
        <v>7654.430328929162</v>
      </c>
      <c r="AD19" s="1">
        <f>DirectTrafficMultiplier*(AD5+AD9+AD13+AD17+AD20+'Sales Detail'!AC13)</f>
        <v>8026.6173167770348</v>
      </c>
      <c r="AE19" s="1">
        <f>DirectTrafficMultiplier*(AE5+AE9+AE13+AE17+AE20+'Sales Detail'!AD13)</f>
        <v>8433.3500034096924</v>
      </c>
      <c r="AF19" s="1">
        <f>DirectTrafficMultiplier*(AF5+AF9+AF13+AF17+AF20+'Sales Detail'!AE13)</f>
        <v>8877.7529587056179</v>
      </c>
      <c r="AG19" s="1">
        <f>DirectTrafficMultiplier*(AG5+AG9+AG13+AG17+AG20+'Sales Detail'!AF13)</f>
        <v>9363.9562095311358</v>
      </c>
      <c r="AH19" s="1">
        <f>DirectTrafficMultiplier*(AH5+AH9+AH13+AH17+AH20+'Sales Detail'!AG13)</f>
        <v>9896.4697854392034</v>
      </c>
      <c r="AI19" s="1">
        <f>DirectTrafficMultiplier*(AI5+AI9+AI13+AI17+AI20+'Sales Detail'!AH13)</f>
        <v>10479.891718938081</v>
      </c>
      <c r="AJ19" s="1">
        <f>DirectTrafficMultiplier*(AJ5+AJ9+AJ13+AJ17+AJ20+'Sales Detail'!AI13)</f>
        <v>11119.609845786843</v>
      </c>
      <c r="AK19" s="1">
        <f>DirectTrafficMultiplier*(AK5+AK9+AK13+AK17+AK20+'Sales Detail'!AJ13)</f>
        <v>11820.857785320482</v>
      </c>
      <c r="AL19" s="1">
        <f>DirectTrafficMultiplier*(AL5+AL9+AL13+AL17+AL20+'Sales Detail'!AK13)</f>
        <v>12590.085518807487</v>
      </c>
      <c r="AM19" s="1">
        <f>DirectTrafficMultiplier*(AM5+AM9+AM13+AM17+AM20+'Sales Detail'!AL13)</f>
        <v>13434.02502564319</v>
      </c>
      <c r="AN19" s="1">
        <f>DirectTrafficMultiplier*(AN5+AN9+AN13+AN17+AN20+'Sales Detail'!AM13)</f>
        <v>14360.741483162466</v>
      </c>
      <c r="AO19" s="1">
        <f>DirectTrafficMultiplier*(AO5+AO9+AO13+AO17+AO20+'Sales Detail'!AN13)</f>
        <v>15378.050586433666</v>
      </c>
      <c r="AP19" s="1">
        <f>DirectTrafficMultiplier*(AP5+AP9+AP13+AP17+AP20+'Sales Detail'!AO13)</f>
        <v>16495.24260003199</v>
      </c>
      <c r="AQ19" s="1">
        <f>DirectTrafficMultiplier*(AQ5+AQ9+AQ13+AQ17+AQ20+'Sales Detail'!AP13)</f>
        <v>17722.503814990145</v>
      </c>
      <c r="AR19" s="1">
        <f>DirectTrafficMultiplier*(AR5+AR9+AR13+AR17+AR20+'Sales Detail'!AQ13)</f>
        <v>19071.006151444115</v>
      </c>
      <c r="AS19" s="1">
        <f>DirectTrafficMultiplier*(AS5+AS9+AS13+AS17+AS20+'Sales Detail'!AR13)</f>
        <v>20552.675721543481</v>
      </c>
      <c r="AT19" s="1">
        <f>DirectTrafficMultiplier*(AT5+AT9+AT13+AT17+AT20+'Sales Detail'!AS13)</f>
        <v>22180.961248652788</v>
      </c>
      <c r="AU19" s="1">
        <f>DirectTrafficMultiplier*(AU5+AU9+AU13+AU17+AU20+'Sales Detail'!AT13)</f>
        <v>23970.623328473022</v>
      </c>
      <c r="AV19" s="1">
        <f>DirectTrafficMultiplier*(AV5+AV9+AV13+AV17+AV20+'Sales Detail'!AU13)</f>
        <v>25937.865616275281</v>
      </c>
      <c r="AW19" s="1">
        <f>DirectTrafficMultiplier*(AW5+AW9+AW13+AW17+AW20+'Sales Detail'!AV13)</f>
        <v>28100.479132857767</v>
      </c>
      <c r="AX19" s="1">
        <f>DirectTrafficMultiplier*(AX5+AX9+AX13+AX17+AX20+'Sales Detail'!AW13)</f>
        <v>30478.001001098502</v>
      </c>
      <c r="AY19" s="1">
        <f>DirectTrafficMultiplier*(AY5+AY9+AY13+AY17+AY20+'Sales Detail'!AX13)</f>
        <v>33091.889056163309</v>
      </c>
      <c r="AZ19" s="1">
        <f>DirectTrafficMultiplier*(AZ5+AZ9+AZ13+AZ17+AZ20+'Sales Detail'!AY13)</f>
        <v>35965.713916734596</v>
      </c>
      <c r="BA19" s="1">
        <f>DirectTrafficMultiplier*(BA5+BA9+BA13+BA17+BA20+'Sales Detail'!AZ13)</f>
        <v>39126.030263363013</v>
      </c>
      <c r="BB19" s="1">
        <f>DirectTrafficMultiplier*(BB5+BB9+BB13+BB17+BB20+'Sales Detail'!BA13)</f>
        <v>42601.289244654268</v>
      </c>
      <c r="BC19" s="1">
        <f>DirectTrafficMultiplier*(BC5+BC9+BC13+BC17+BC20+'Sales Detail'!BB13)</f>
        <v>46423.084124074652</v>
      </c>
      <c r="BD19" s="1">
        <f>DirectTrafficMultiplier*(BD5+BD9+BD13+BD17+BD20+'Sales Detail'!BC13)</f>
        <v>50626.101491437075</v>
      </c>
      <c r="BE19" s="1">
        <f>DirectTrafficMultiplier*(BE5+BE9+BE13+BE17+BE20+'Sales Detail'!BD13)</f>
        <v>55248.10059553574</v>
      </c>
      <c r="BF19" s="1">
        <f>DirectTrafficMultiplier*(BF5+BF9+BF13+BF17+BF20+'Sales Detail'!BE13)</f>
        <v>60331.573610044274</v>
      </c>
      <c r="BG19" s="1">
        <f>DirectTrafficMultiplier*(BG5+BG9+BG13+BG17+BG20+'Sales Detail'!BF13)</f>
        <v>65922.799926003659</v>
      </c>
      <c r="BH19" s="1">
        <f>DirectTrafficMultiplier*(BH5+BH9+BH13+BH17+BH20+'Sales Detail'!BG13)</f>
        <v>72071.927873558991</v>
      </c>
      <c r="BI19" s="1">
        <f>DirectTrafficMultiplier*(BI5+BI9+BI13+BI17+BI20+'Sales Detail'!BH13)</f>
        <v>78835.077615869843</v>
      </c>
      <c r="BJ19" s="1">
        <f>DirectTrafficMultiplier*(BJ5+BJ9+BJ13+BJ17+BJ20+'Sales Detail'!BI13)</f>
        <v>86273.519332411786</v>
      </c>
    </row>
    <row r="20" spans="1:62" x14ac:dyDescent="0.2">
      <c r="B20" s="110" t="s">
        <v>38</v>
      </c>
      <c r="C20" s="113">
        <v>874</v>
      </c>
      <c r="D20" s="113">
        <v>903</v>
      </c>
      <c r="E20" s="113">
        <v>1193</v>
      </c>
      <c r="F20" s="113">
        <v>1159</v>
      </c>
      <c r="G20" s="113">
        <v>1286</v>
      </c>
      <c r="H20" s="1">
        <f t="shared" ref="H20:AI20" si="27">G20*(1+OrganicTrafficMonthlyGrowthRate)</f>
        <v>1414.6000000000001</v>
      </c>
      <c r="I20" s="1">
        <f t="shared" si="27"/>
        <v>1556.0600000000002</v>
      </c>
      <c r="J20" s="1">
        <f t="shared" si="27"/>
        <v>1711.6660000000004</v>
      </c>
      <c r="K20" s="1">
        <f t="shared" si="27"/>
        <v>1882.8326000000006</v>
      </c>
      <c r="L20" s="1">
        <f t="shared" si="27"/>
        <v>2071.1158600000008</v>
      </c>
      <c r="M20" s="1">
        <f t="shared" si="27"/>
        <v>2278.2274460000012</v>
      </c>
      <c r="N20" s="1">
        <f t="shared" si="27"/>
        <v>2506.0501906000018</v>
      </c>
      <c r="O20" s="1">
        <f t="shared" si="27"/>
        <v>2756.6552096600021</v>
      </c>
      <c r="P20" s="1">
        <f t="shared" si="27"/>
        <v>3032.3207306260024</v>
      </c>
      <c r="Q20" s="1">
        <f t="shared" si="27"/>
        <v>3335.552803688603</v>
      </c>
      <c r="R20" s="1">
        <f t="shared" si="27"/>
        <v>3669.1080840574637</v>
      </c>
      <c r="S20" s="1">
        <f t="shared" si="27"/>
        <v>4036.0188924632102</v>
      </c>
      <c r="T20" s="1">
        <f t="shared" si="27"/>
        <v>4439.6207817095319</v>
      </c>
      <c r="U20" s="1">
        <f t="shared" si="27"/>
        <v>4883.5828598804856</v>
      </c>
      <c r="V20" s="1">
        <f t="shared" si="27"/>
        <v>5371.9411458685345</v>
      </c>
      <c r="W20" s="1">
        <f t="shared" si="27"/>
        <v>5909.1352604553886</v>
      </c>
      <c r="X20" s="1">
        <f t="shared" si="27"/>
        <v>6500.0487865009281</v>
      </c>
      <c r="Y20" s="1">
        <f t="shared" si="27"/>
        <v>7150.053665151022</v>
      </c>
      <c r="Z20" s="1">
        <f t="shared" si="27"/>
        <v>7865.0590316661246</v>
      </c>
      <c r="AA20" s="1">
        <f t="shared" si="27"/>
        <v>8651.564934832737</v>
      </c>
      <c r="AB20" s="1">
        <f t="shared" si="27"/>
        <v>9516.721428316012</v>
      </c>
      <c r="AC20" s="1">
        <f t="shared" si="27"/>
        <v>10468.393571147613</v>
      </c>
      <c r="AD20" s="1">
        <f t="shared" si="27"/>
        <v>11515.232928262376</v>
      </c>
      <c r="AE20" s="1">
        <f t="shared" si="27"/>
        <v>12666.756221088615</v>
      </c>
      <c r="AF20" s="1">
        <f t="shared" si="27"/>
        <v>13933.431843197479</v>
      </c>
      <c r="AG20" s="1">
        <f t="shared" si="27"/>
        <v>15326.775027517227</v>
      </c>
      <c r="AH20" s="1">
        <f t="shared" si="27"/>
        <v>16859.452530268951</v>
      </c>
      <c r="AI20" s="1">
        <f t="shared" si="27"/>
        <v>18545.397783295848</v>
      </c>
      <c r="AJ20" s="1">
        <f t="shared" ref="AJ20:BJ20" si="28">AI20*(1+OrganicTrafficMonthlyGrowthRate)</f>
        <v>20399.937561625433</v>
      </c>
      <c r="AK20" s="1">
        <f t="shared" si="28"/>
        <v>22439.931317787978</v>
      </c>
      <c r="AL20" s="1">
        <f t="shared" si="28"/>
        <v>24683.924449566777</v>
      </c>
      <c r="AM20" s="1">
        <f t="shared" si="28"/>
        <v>27152.316894523457</v>
      </c>
      <c r="AN20" s="1">
        <f t="shared" si="28"/>
        <v>29867.548583975804</v>
      </c>
      <c r="AO20" s="1">
        <f t="shared" si="28"/>
        <v>32854.303442373384</v>
      </c>
      <c r="AP20" s="1">
        <f t="shared" si="28"/>
        <v>36139.733786610726</v>
      </c>
      <c r="AQ20" s="1">
        <f t="shared" si="28"/>
        <v>39753.7071652718</v>
      </c>
      <c r="AR20" s="1">
        <f t="shared" si="28"/>
        <v>43729.077881798985</v>
      </c>
      <c r="AS20" s="1">
        <f t="shared" si="28"/>
        <v>48101.985669978887</v>
      </c>
      <c r="AT20" s="1">
        <f t="shared" si="28"/>
        <v>52912.184236976776</v>
      </c>
      <c r="AU20" s="1">
        <f t="shared" si="28"/>
        <v>58203.402660674459</v>
      </c>
      <c r="AV20" s="1">
        <f t="shared" si="28"/>
        <v>64023.742926741914</v>
      </c>
      <c r="AW20" s="1">
        <f t="shared" si="28"/>
        <v>70426.117219416104</v>
      </c>
      <c r="AX20" s="1">
        <f t="shared" si="28"/>
        <v>77468.728941357724</v>
      </c>
      <c r="AY20" s="1">
        <f t="shared" si="28"/>
        <v>85215.601835493508</v>
      </c>
      <c r="AZ20" s="1">
        <f t="shared" si="28"/>
        <v>93737.162019042866</v>
      </c>
      <c r="BA20" s="1">
        <f t="shared" si="28"/>
        <v>103110.87822094715</v>
      </c>
      <c r="BB20" s="1">
        <f t="shared" si="28"/>
        <v>113421.96604304187</v>
      </c>
      <c r="BC20" s="1">
        <f t="shared" si="28"/>
        <v>124764.16264734606</v>
      </c>
      <c r="BD20" s="1">
        <f t="shared" si="28"/>
        <v>137240.57891208067</v>
      </c>
      <c r="BE20" s="1">
        <f t="shared" si="28"/>
        <v>150964.63680328874</v>
      </c>
      <c r="BF20" s="1">
        <f t="shared" si="28"/>
        <v>166061.10048361763</v>
      </c>
      <c r="BG20" s="1">
        <f t="shared" si="28"/>
        <v>182667.21053197942</v>
      </c>
      <c r="BH20" s="1">
        <f t="shared" si="28"/>
        <v>200933.93158517737</v>
      </c>
      <c r="BI20" s="1">
        <f t="shared" si="28"/>
        <v>221027.32474369512</v>
      </c>
      <c r="BJ20" s="1">
        <f t="shared" si="28"/>
        <v>243130.05721806464</v>
      </c>
    </row>
    <row r="21" spans="1:62" x14ac:dyDescent="0.2">
      <c r="C21" s="113"/>
      <c r="D21" s="113"/>
      <c r="E21" s="113"/>
      <c r="F21" s="113"/>
      <c r="G21" s="113"/>
    </row>
    <row r="22" spans="1:62" s="2" customFormat="1" x14ac:dyDescent="0.2">
      <c r="A22" s="110"/>
      <c r="B22" s="110" t="s">
        <v>40</v>
      </c>
      <c r="C22" s="113">
        <f>C20+C19+C9+C5+C13+C17</f>
        <v>1273</v>
      </c>
      <c r="D22" s="113">
        <f t="shared" ref="D22:BJ22" si="29">D20+D19+D9+D5+D13+D17</f>
        <v>1808</v>
      </c>
      <c r="E22" s="113">
        <f t="shared" si="29"/>
        <v>2403</v>
      </c>
      <c r="F22" s="113">
        <f t="shared" si="29"/>
        <v>2627</v>
      </c>
      <c r="G22" s="113">
        <f t="shared" si="29"/>
        <v>15539</v>
      </c>
      <c r="H22" s="2">
        <f t="shared" si="29"/>
        <v>15599.188300300299</v>
      </c>
      <c r="I22" s="2">
        <f t="shared" si="29"/>
        <v>15834.8501003003</v>
      </c>
      <c r="J22" s="2">
        <f t="shared" si="29"/>
        <v>16087.676080300302</v>
      </c>
      <c r="K22" s="2">
        <f t="shared" si="29"/>
        <v>16359.217658300302</v>
      </c>
      <c r="L22" s="2">
        <f t="shared" si="29"/>
        <v>16652.204394100303</v>
      </c>
      <c r="M22" s="2">
        <f t="shared" si="29"/>
        <v>16968.9128034803</v>
      </c>
      <c r="N22" s="2">
        <f t="shared" si="29"/>
        <v>17311.517053798303</v>
      </c>
      <c r="O22" s="2">
        <f t="shared" si="29"/>
        <v>17683.101729148104</v>
      </c>
      <c r="P22" s="2">
        <f t="shared" si="29"/>
        <v>18086.696872032884</v>
      </c>
      <c r="Q22" s="2">
        <f t="shared" si="29"/>
        <v>18525.635529206142</v>
      </c>
      <c r="R22" s="2">
        <f t="shared" si="29"/>
        <v>19003.914052096727</v>
      </c>
      <c r="S22" s="2">
        <f t="shared" si="29"/>
        <v>19525.23542727637</v>
      </c>
      <c r="T22" s="2">
        <f t="shared" si="29"/>
        <v>20094.365939973977</v>
      </c>
      <c r="U22" s="2">
        <f t="shared" si="29"/>
        <v>20716.185503941346</v>
      </c>
      <c r="V22" s="2">
        <f t="shared" si="29"/>
        <v>21396.722024305454</v>
      </c>
      <c r="W22" s="2">
        <f t="shared" si="29"/>
        <v>22141.220196705966</v>
      </c>
      <c r="X22" s="2">
        <f t="shared" si="29"/>
        <v>22956.505186346534</v>
      </c>
      <c r="Y22" s="2">
        <f t="shared" si="29"/>
        <v>23849.721674951157</v>
      </c>
      <c r="Z22" s="2">
        <f t="shared" si="29"/>
        <v>24828.728812416244</v>
      </c>
      <c r="AA22" s="2">
        <f t="shared" si="29"/>
        <v>25902.501663627841</v>
      </c>
      <c r="AB22" s="2">
        <f t="shared" si="29"/>
        <v>27080.2197999606</v>
      </c>
      <c r="AC22" s="2">
        <f t="shared" si="29"/>
        <v>28372.673749926624</v>
      </c>
      <c r="AD22" s="2">
        <f t="shared" si="29"/>
        <v>29791.70009488926</v>
      </c>
      <c r="AE22" s="2">
        <f t="shared" si="29"/>
        <v>31349.956074348156</v>
      </c>
      <c r="AF22" s="2">
        <f t="shared" si="29"/>
        <v>33061.034651752947</v>
      </c>
      <c r="AG22" s="2">
        <f t="shared" si="29"/>
        <v>34940.581086898215</v>
      </c>
      <c r="AH22" s="2">
        <f t="shared" si="29"/>
        <v>37005.772165558003</v>
      </c>
      <c r="AI22" s="2">
        <f t="shared" si="29"/>
        <v>39275.139352083781</v>
      </c>
      <c r="AJ22" s="2">
        <f t="shared" si="29"/>
        <v>41769.397257262128</v>
      </c>
      <c r="AK22" s="2">
        <f t="shared" si="29"/>
        <v>44510.63895295831</v>
      </c>
      <c r="AL22" s="2">
        <f t="shared" si="29"/>
        <v>47523.859818224118</v>
      </c>
      <c r="AM22" s="2">
        <f t="shared" si="29"/>
        <v>50836.1917700165</v>
      </c>
      <c r="AN22" s="2">
        <f t="shared" si="29"/>
        <v>54478.139916988119</v>
      </c>
      <c r="AO22" s="2">
        <f t="shared" si="29"/>
        <v>58482.203878656903</v>
      </c>
      <c r="AP22" s="2">
        <f t="shared" si="29"/>
        <v>62884.826236492569</v>
      </c>
      <c r="AQ22" s="2">
        <f t="shared" si="29"/>
        <v>67726.06083011179</v>
      </c>
      <c r="AR22" s="2">
        <f t="shared" si="29"/>
        <v>73049.933883092934</v>
      </c>
      <c r="AS22" s="2">
        <f t="shared" si="29"/>
        <v>78904.511241372209</v>
      </c>
      <c r="AT22" s="2">
        <f t="shared" si="29"/>
        <v>85342.995335479398</v>
      </c>
      <c r="AU22" s="2">
        <f t="shared" si="29"/>
        <v>92423.875838997323</v>
      </c>
      <c r="AV22" s="2">
        <f t="shared" si="29"/>
        <v>100211.45839286703</v>
      </c>
      <c r="AW22" s="2">
        <f t="shared" si="29"/>
        <v>108776.44620212371</v>
      </c>
      <c r="AX22" s="2">
        <f t="shared" si="29"/>
        <v>118196.57979230606</v>
      </c>
      <c r="AY22" s="2">
        <f t="shared" si="29"/>
        <v>128557.34074150665</v>
      </c>
      <c r="AZ22" s="2">
        <f t="shared" si="29"/>
        <v>139952.72578562732</v>
      </c>
      <c r="BA22" s="2">
        <f t="shared" si="29"/>
        <v>152486.75833416003</v>
      </c>
      <c r="BB22" s="2">
        <f t="shared" si="29"/>
        <v>166273.10513754599</v>
      </c>
      <c r="BC22" s="2">
        <f t="shared" si="29"/>
        <v>181437.09662127055</v>
      </c>
      <c r="BD22" s="2">
        <f t="shared" si="29"/>
        <v>198116.53025336759</v>
      </c>
      <c r="BE22" s="2">
        <f t="shared" si="29"/>
        <v>216462.58724867433</v>
      </c>
      <c r="BF22" s="2">
        <f t="shared" si="29"/>
        <v>236642.52394351174</v>
      </c>
      <c r="BG22" s="2">
        <f t="shared" si="29"/>
        <v>258839.86030783292</v>
      </c>
      <c r="BH22" s="2">
        <f t="shared" si="29"/>
        <v>283255.7093085862</v>
      </c>
      <c r="BI22" s="2">
        <f t="shared" si="29"/>
        <v>310112.25220941479</v>
      </c>
      <c r="BJ22" s="2">
        <f t="shared" si="29"/>
        <v>339653.42640032625</v>
      </c>
    </row>
  </sheetData>
  <pageMargins left="0.75" right="0.75" top="1" bottom="1" header="0.5" footer="0.5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R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0" sqref="A10"/>
    </sheetView>
    <sheetView zoomScale="220" zoomScaleNormal="220" zoomScalePageLayoutView="150" workbookViewId="1">
      <pane xSplit="2" ySplit="2" topLeftCell="C3" activePane="bottomRight" state="frozen"/>
      <selection activeCell="C56" sqref="C56"/>
      <selection pane="topRight" activeCell="C56" sqref="C56"/>
      <selection pane="bottomLeft" activeCell="C56" sqref="C56"/>
      <selection pane="bottomRight" activeCell="C13" sqref="C13:N13"/>
    </sheetView>
  </sheetViews>
  <sheetFormatPr baseColWidth="10" defaultRowHeight="16" x14ac:dyDescent="0.2"/>
  <cols>
    <col min="1" max="1" width="4.33203125" style="132" customWidth="1"/>
    <col min="2" max="2" width="24" style="132" bestFit="1" customWidth="1"/>
    <col min="3" max="4" width="9.1640625" style="132" bestFit="1" customWidth="1"/>
    <col min="5" max="6" width="10.6640625" style="132" bestFit="1" customWidth="1"/>
    <col min="7" max="7" width="11.6640625" style="132" bestFit="1" customWidth="1"/>
    <col min="8" max="62" width="12.6640625" bestFit="1" customWidth="1"/>
  </cols>
  <sheetData>
    <row r="1" spans="1:62" s="1" customFormat="1" x14ac:dyDescent="0.2">
      <c r="A1" s="111" t="s">
        <v>15</v>
      </c>
      <c r="B1" s="111"/>
      <c r="C1" s="111" t="s">
        <v>0</v>
      </c>
      <c r="D1" s="111"/>
      <c r="E1" s="111"/>
      <c r="F1" s="111"/>
      <c r="G1" s="111"/>
    </row>
    <row r="2" spans="1:62" s="2" customFormat="1" x14ac:dyDescent="0.2">
      <c r="A2" s="111"/>
      <c r="B2" s="111"/>
      <c r="C2" s="116">
        <f>'Monthly Income Statement'!C2</f>
        <v>44211</v>
      </c>
      <c r="D2" s="116">
        <f>'Monthly Income Statement'!D2</f>
        <v>44241</v>
      </c>
      <c r="E2" s="116">
        <f>'Monthly Income Statement'!E2</f>
        <v>44271</v>
      </c>
      <c r="F2" s="116">
        <f>'Monthly Income Statement'!F2</f>
        <v>44301</v>
      </c>
      <c r="G2" s="116">
        <f>'Monthly Income Statement'!G2</f>
        <v>44331</v>
      </c>
      <c r="H2" s="60">
        <f>'Monthly Income Statement'!H2</f>
        <v>44361</v>
      </c>
      <c r="I2" s="60">
        <f>'Monthly Income Statement'!I2</f>
        <v>44391</v>
      </c>
      <c r="J2" s="60">
        <f>'Monthly Income Statement'!J2</f>
        <v>44421</v>
      </c>
      <c r="K2" s="60">
        <f>'Monthly Income Statement'!K2</f>
        <v>44451</v>
      </c>
      <c r="L2" s="60">
        <f>'Monthly Income Statement'!L2</f>
        <v>44481</v>
      </c>
      <c r="M2" s="60">
        <f>'Monthly Income Statement'!M2</f>
        <v>44511</v>
      </c>
      <c r="N2" s="60">
        <f>'Monthly Income Statement'!N2</f>
        <v>44541</v>
      </c>
      <c r="O2" s="60">
        <f>'Monthly Income Statement'!O2</f>
        <v>44571</v>
      </c>
      <c r="P2" s="60">
        <f>'Monthly Income Statement'!P2</f>
        <v>44601</v>
      </c>
      <c r="Q2" s="60">
        <f>'Monthly Income Statement'!Q2</f>
        <v>44631</v>
      </c>
      <c r="R2" s="60">
        <f>'Monthly Income Statement'!R2</f>
        <v>44661</v>
      </c>
      <c r="S2" s="60">
        <f>'Monthly Income Statement'!S2</f>
        <v>44691</v>
      </c>
      <c r="T2" s="60">
        <f>'Monthly Income Statement'!T2</f>
        <v>44721</v>
      </c>
      <c r="U2" s="60">
        <f>'Monthly Income Statement'!U2</f>
        <v>44751</v>
      </c>
      <c r="V2" s="60">
        <f>'Monthly Income Statement'!V2</f>
        <v>44781</v>
      </c>
      <c r="W2" s="60">
        <f>'Monthly Income Statement'!W2</f>
        <v>44811</v>
      </c>
      <c r="X2" s="60">
        <f>'Monthly Income Statement'!X2</f>
        <v>44841</v>
      </c>
      <c r="Y2" s="60">
        <f>'Monthly Income Statement'!Y2</f>
        <v>44871</v>
      </c>
      <c r="Z2" s="60">
        <f>'Monthly Income Statement'!Z2</f>
        <v>44901</v>
      </c>
      <c r="AA2" s="60">
        <f>'Monthly Income Statement'!AA2</f>
        <v>44941</v>
      </c>
      <c r="AB2" s="60">
        <f>'Monthly Income Statement'!AB2</f>
        <v>44971</v>
      </c>
      <c r="AC2" s="60">
        <f>'Monthly Income Statement'!AC2</f>
        <v>45001</v>
      </c>
      <c r="AD2" s="60">
        <f>'Monthly Income Statement'!AD2</f>
        <v>45031</v>
      </c>
      <c r="AE2" s="60">
        <f>'Monthly Income Statement'!AE2</f>
        <v>45061</v>
      </c>
      <c r="AF2" s="60">
        <f>'Monthly Income Statement'!AF2</f>
        <v>45091</v>
      </c>
      <c r="AG2" s="60">
        <f>'Monthly Income Statement'!AG2</f>
        <v>45121</v>
      </c>
      <c r="AH2" s="60">
        <f>'Monthly Income Statement'!AH2</f>
        <v>45151</v>
      </c>
      <c r="AI2" s="60">
        <f>'Monthly Income Statement'!AI2</f>
        <v>45181</v>
      </c>
      <c r="AJ2" s="60">
        <f>'Monthly Income Statement'!AJ2</f>
        <v>45211</v>
      </c>
      <c r="AK2" s="60">
        <f>'Monthly Income Statement'!AK2</f>
        <v>45241</v>
      </c>
      <c r="AL2" s="60">
        <f>'Monthly Income Statement'!AL2</f>
        <v>45271</v>
      </c>
      <c r="AM2" s="60">
        <f>'Monthly Income Statement'!AM2</f>
        <v>45301</v>
      </c>
      <c r="AN2" s="60">
        <f>'Monthly Income Statement'!AN2</f>
        <v>45331</v>
      </c>
      <c r="AO2" s="60">
        <f>'Monthly Income Statement'!AO2</f>
        <v>45361</v>
      </c>
      <c r="AP2" s="60">
        <f>'Monthly Income Statement'!AP2</f>
        <v>45391</v>
      </c>
      <c r="AQ2" s="60">
        <f>'Monthly Income Statement'!AQ2</f>
        <v>45421</v>
      </c>
      <c r="AR2" s="60">
        <f>'Monthly Income Statement'!AR2</f>
        <v>45451</v>
      </c>
      <c r="AS2" s="60">
        <f>'Monthly Income Statement'!AS2</f>
        <v>45481</v>
      </c>
      <c r="AT2" s="60">
        <f>'Monthly Income Statement'!AT2</f>
        <v>45511</v>
      </c>
      <c r="AU2" s="60">
        <f>'Monthly Income Statement'!AU2</f>
        <v>45541</v>
      </c>
      <c r="AV2" s="60">
        <f>'Monthly Income Statement'!AV2</f>
        <v>45571</v>
      </c>
      <c r="AW2" s="60">
        <f>'Monthly Income Statement'!AW2</f>
        <v>45601</v>
      </c>
      <c r="AX2" s="60">
        <f>'Monthly Income Statement'!AX2</f>
        <v>45631</v>
      </c>
      <c r="AY2" s="60">
        <f>'Monthly Income Statement'!AY2</f>
        <v>45672</v>
      </c>
      <c r="AZ2" s="60">
        <f>'Monthly Income Statement'!AZ2</f>
        <v>45702</v>
      </c>
      <c r="BA2" s="60">
        <f>'Monthly Income Statement'!BA2</f>
        <v>45732</v>
      </c>
      <c r="BB2" s="60">
        <f>'Monthly Income Statement'!BB2</f>
        <v>45762</v>
      </c>
      <c r="BC2" s="60">
        <f>'Monthly Income Statement'!BC2</f>
        <v>45792</v>
      </c>
      <c r="BD2" s="60">
        <f>'Monthly Income Statement'!BD2</f>
        <v>45822</v>
      </c>
      <c r="BE2" s="60">
        <f>'Monthly Income Statement'!BE2</f>
        <v>45852</v>
      </c>
      <c r="BF2" s="60">
        <f>'Monthly Income Statement'!BF2</f>
        <v>45882</v>
      </c>
      <c r="BG2" s="60">
        <f>'Monthly Income Statement'!BG2</f>
        <v>45912</v>
      </c>
      <c r="BH2" s="60">
        <f>'Monthly Income Statement'!BH2</f>
        <v>45942</v>
      </c>
      <c r="BI2" s="60">
        <f>'Monthly Income Statement'!BI2</f>
        <v>45972</v>
      </c>
      <c r="BJ2" s="60">
        <f>'Monthly Income Statement'!BJ2</f>
        <v>46002</v>
      </c>
    </row>
    <row r="3" spans="1:62" s="1" customFormat="1" x14ac:dyDescent="0.2">
      <c r="A3" s="111"/>
      <c r="B3" s="111" t="s">
        <v>11</v>
      </c>
      <c r="C3" s="113">
        <v>97</v>
      </c>
      <c r="D3" s="113">
        <f>C13</f>
        <v>99</v>
      </c>
      <c r="E3" s="113">
        <f t="shared" ref="E3:BJ3" si="0">D13</f>
        <v>100</v>
      </c>
      <c r="F3" s="113">
        <f t="shared" si="0"/>
        <v>106</v>
      </c>
      <c r="G3" s="113">
        <f t="shared" si="0"/>
        <v>111</v>
      </c>
      <c r="H3" s="1">
        <f t="shared" si="0"/>
        <v>259</v>
      </c>
      <c r="I3" s="1">
        <f t="shared" si="0"/>
        <v>403</v>
      </c>
      <c r="J3" s="1">
        <f t="shared" si="0"/>
        <v>542</v>
      </c>
      <c r="K3" s="1">
        <f t="shared" si="0"/>
        <v>675</v>
      </c>
      <c r="L3" s="1">
        <f t="shared" si="0"/>
        <v>804</v>
      </c>
      <c r="M3" s="1">
        <f t="shared" si="0"/>
        <v>929</v>
      </c>
      <c r="N3" s="1">
        <f t="shared" si="0"/>
        <v>1049</v>
      </c>
      <c r="O3" s="1">
        <f t="shared" si="0"/>
        <v>1165</v>
      </c>
      <c r="P3" s="1">
        <f t="shared" si="0"/>
        <v>1277</v>
      </c>
      <c r="Q3" s="1">
        <f t="shared" si="0"/>
        <v>1385</v>
      </c>
      <c r="R3" s="1">
        <f t="shared" si="0"/>
        <v>1490</v>
      </c>
      <c r="S3" s="1">
        <f t="shared" si="0"/>
        <v>1591</v>
      </c>
      <c r="T3" s="1">
        <f t="shared" si="0"/>
        <v>1689</v>
      </c>
      <c r="U3" s="1">
        <f t="shared" si="0"/>
        <v>1784</v>
      </c>
      <c r="V3" s="1">
        <f t="shared" si="0"/>
        <v>1878</v>
      </c>
      <c r="W3" s="1">
        <f t="shared" si="0"/>
        <v>1969</v>
      </c>
      <c r="X3" s="1">
        <f t="shared" si="0"/>
        <v>2058</v>
      </c>
      <c r="Y3" s="1">
        <f t="shared" si="0"/>
        <v>2145</v>
      </c>
      <c r="Z3" s="1">
        <f t="shared" si="0"/>
        <v>2230</v>
      </c>
      <c r="AA3" s="1">
        <f t="shared" si="0"/>
        <v>2314</v>
      </c>
      <c r="AB3" s="1">
        <f t="shared" si="0"/>
        <v>2396</v>
      </c>
      <c r="AC3" s="1">
        <f t="shared" si="0"/>
        <v>2477</v>
      </c>
      <c r="AD3" s="1">
        <f t="shared" si="0"/>
        <v>2558</v>
      </c>
      <c r="AE3" s="1">
        <f t="shared" si="0"/>
        <v>2639</v>
      </c>
      <c r="AF3" s="1">
        <f t="shared" si="0"/>
        <v>2719</v>
      </c>
      <c r="AG3" s="1">
        <f t="shared" si="0"/>
        <v>2799</v>
      </c>
      <c r="AH3" s="1">
        <f t="shared" si="0"/>
        <v>2880</v>
      </c>
      <c r="AI3" s="1">
        <f t="shared" si="0"/>
        <v>2962</v>
      </c>
      <c r="AJ3" s="1">
        <f t="shared" si="0"/>
        <v>3046</v>
      </c>
      <c r="AK3" s="1">
        <f t="shared" si="0"/>
        <v>3131</v>
      </c>
      <c r="AL3" s="1">
        <f t="shared" si="0"/>
        <v>3218</v>
      </c>
      <c r="AM3" s="1">
        <f t="shared" si="0"/>
        <v>3307</v>
      </c>
      <c r="AN3" s="1">
        <f t="shared" si="0"/>
        <v>3400</v>
      </c>
      <c r="AO3" s="1">
        <f t="shared" si="0"/>
        <v>3496</v>
      </c>
      <c r="AP3" s="1">
        <f t="shared" si="0"/>
        <v>3596</v>
      </c>
      <c r="AQ3" s="1">
        <f t="shared" si="0"/>
        <v>3701</v>
      </c>
      <c r="AR3" s="1">
        <f t="shared" si="0"/>
        <v>3812</v>
      </c>
      <c r="AS3" s="1">
        <f t="shared" si="0"/>
        <v>3929</v>
      </c>
      <c r="AT3" s="1">
        <f t="shared" si="0"/>
        <v>4053</v>
      </c>
      <c r="AU3" s="1">
        <f t="shared" si="0"/>
        <v>4185</v>
      </c>
      <c r="AV3" s="1">
        <f t="shared" si="0"/>
        <v>4326</v>
      </c>
      <c r="AW3" s="1">
        <f t="shared" si="0"/>
        <v>4477</v>
      </c>
      <c r="AX3" s="1">
        <f t="shared" si="0"/>
        <v>4639</v>
      </c>
      <c r="AY3" s="1">
        <f t="shared" si="0"/>
        <v>4813</v>
      </c>
      <c r="AZ3" s="1">
        <f t="shared" si="0"/>
        <v>5000</v>
      </c>
      <c r="BA3" s="1">
        <f t="shared" si="0"/>
        <v>5203</v>
      </c>
      <c r="BB3" s="1">
        <f t="shared" si="0"/>
        <v>5423</v>
      </c>
      <c r="BC3" s="1">
        <f t="shared" si="0"/>
        <v>5662</v>
      </c>
      <c r="BD3" s="1">
        <f t="shared" si="0"/>
        <v>5922</v>
      </c>
      <c r="BE3" s="1">
        <f t="shared" si="0"/>
        <v>6204</v>
      </c>
      <c r="BF3" s="1">
        <f t="shared" si="0"/>
        <v>6512</v>
      </c>
      <c r="BG3" s="1">
        <f t="shared" si="0"/>
        <v>6849</v>
      </c>
      <c r="BH3" s="1">
        <f t="shared" si="0"/>
        <v>7216</v>
      </c>
      <c r="BI3" s="1">
        <f t="shared" si="0"/>
        <v>7617</v>
      </c>
      <c r="BJ3" s="1">
        <f t="shared" si="0"/>
        <v>8055</v>
      </c>
    </row>
    <row r="4" spans="1:62" s="123" customFormat="1" ht="14" x14ac:dyDescent="0.2">
      <c r="A4" s="128"/>
      <c r="B4" s="129" t="s">
        <v>206</v>
      </c>
      <c r="C4" s="99">
        <f>C5/'Traffic Detail'!C5</f>
        <v>2.3529411764705882E-2</v>
      </c>
      <c r="D4" s="99">
        <f>D5/'Traffic Detail'!D5</f>
        <v>1.9417475728155338E-2</v>
      </c>
      <c r="E4" s="99">
        <f>E5/'Traffic Detail'!E5</f>
        <v>1.8181818181818181E-2</v>
      </c>
      <c r="F4" s="99">
        <f>F5/'Traffic Detail'!F5</f>
        <v>1.9900497512437811E-2</v>
      </c>
      <c r="G4" s="99">
        <f>G5/'Traffic Detail'!G5</f>
        <v>1.9426248023492208E-2</v>
      </c>
      <c r="H4" s="124">
        <f t="shared" ref="H4:AM4" si="1">SEMToSubscriber</f>
        <v>0.02</v>
      </c>
      <c r="I4" s="124">
        <f t="shared" si="1"/>
        <v>0.02</v>
      </c>
      <c r="J4" s="124">
        <f t="shared" si="1"/>
        <v>0.02</v>
      </c>
      <c r="K4" s="124">
        <f t="shared" si="1"/>
        <v>0.02</v>
      </c>
      <c r="L4" s="124">
        <f t="shared" si="1"/>
        <v>0.02</v>
      </c>
      <c r="M4" s="124">
        <f t="shared" si="1"/>
        <v>0.02</v>
      </c>
      <c r="N4" s="124">
        <f t="shared" si="1"/>
        <v>0.02</v>
      </c>
      <c r="O4" s="124">
        <f t="shared" si="1"/>
        <v>0.02</v>
      </c>
      <c r="P4" s="124">
        <f t="shared" si="1"/>
        <v>0.02</v>
      </c>
      <c r="Q4" s="124">
        <f t="shared" si="1"/>
        <v>0.02</v>
      </c>
      <c r="R4" s="124">
        <f t="shared" si="1"/>
        <v>0.02</v>
      </c>
      <c r="S4" s="124">
        <f t="shared" si="1"/>
        <v>0.02</v>
      </c>
      <c r="T4" s="124">
        <f t="shared" si="1"/>
        <v>0.02</v>
      </c>
      <c r="U4" s="124">
        <f t="shared" si="1"/>
        <v>0.02</v>
      </c>
      <c r="V4" s="124">
        <f t="shared" si="1"/>
        <v>0.02</v>
      </c>
      <c r="W4" s="124">
        <f t="shared" si="1"/>
        <v>0.02</v>
      </c>
      <c r="X4" s="124">
        <f t="shared" si="1"/>
        <v>0.02</v>
      </c>
      <c r="Y4" s="124">
        <f t="shared" si="1"/>
        <v>0.02</v>
      </c>
      <c r="Z4" s="124">
        <f t="shared" si="1"/>
        <v>0.02</v>
      </c>
      <c r="AA4" s="124">
        <f t="shared" si="1"/>
        <v>0.02</v>
      </c>
      <c r="AB4" s="124">
        <f t="shared" si="1"/>
        <v>0.02</v>
      </c>
      <c r="AC4" s="124">
        <f t="shared" si="1"/>
        <v>0.02</v>
      </c>
      <c r="AD4" s="124">
        <f t="shared" si="1"/>
        <v>0.02</v>
      </c>
      <c r="AE4" s="124">
        <f t="shared" si="1"/>
        <v>0.02</v>
      </c>
      <c r="AF4" s="124">
        <f t="shared" si="1"/>
        <v>0.02</v>
      </c>
      <c r="AG4" s="124">
        <f t="shared" si="1"/>
        <v>0.02</v>
      </c>
      <c r="AH4" s="124">
        <f t="shared" si="1"/>
        <v>0.02</v>
      </c>
      <c r="AI4" s="124">
        <f t="shared" si="1"/>
        <v>0.02</v>
      </c>
      <c r="AJ4" s="124">
        <f t="shared" si="1"/>
        <v>0.02</v>
      </c>
      <c r="AK4" s="124">
        <f t="shared" si="1"/>
        <v>0.02</v>
      </c>
      <c r="AL4" s="124">
        <f t="shared" si="1"/>
        <v>0.02</v>
      </c>
      <c r="AM4" s="124">
        <f t="shared" si="1"/>
        <v>0.02</v>
      </c>
      <c r="AN4" s="124">
        <f t="shared" ref="AN4:BJ4" si="2">SEMToSubscriber</f>
        <v>0.02</v>
      </c>
      <c r="AO4" s="124">
        <f t="shared" si="2"/>
        <v>0.02</v>
      </c>
      <c r="AP4" s="124">
        <f t="shared" si="2"/>
        <v>0.02</v>
      </c>
      <c r="AQ4" s="124">
        <f t="shared" si="2"/>
        <v>0.02</v>
      </c>
      <c r="AR4" s="124">
        <f t="shared" si="2"/>
        <v>0.02</v>
      </c>
      <c r="AS4" s="124">
        <f t="shared" si="2"/>
        <v>0.02</v>
      </c>
      <c r="AT4" s="124">
        <f t="shared" si="2"/>
        <v>0.02</v>
      </c>
      <c r="AU4" s="124">
        <f t="shared" si="2"/>
        <v>0.02</v>
      </c>
      <c r="AV4" s="124">
        <f t="shared" si="2"/>
        <v>0.02</v>
      </c>
      <c r="AW4" s="124">
        <f t="shared" si="2"/>
        <v>0.02</v>
      </c>
      <c r="AX4" s="124">
        <f t="shared" si="2"/>
        <v>0.02</v>
      </c>
      <c r="AY4" s="124">
        <f t="shared" si="2"/>
        <v>0.02</v>
      </c>
      <c r="AZ4" s="124">
        <f t="shared" si="2"/>
        <v>0.02</v>
      </c>
      <c r="BA4" s="124">
        <f t="shared" si="2"/>
        <v>0.02</v>
      </c>
      <c r="BB4" s="124">
        <f t="shared" si="2"/>
        <v>0.02</v>
      </c>
      <c r="BC4" s="124">
        <f t="shared" si="2"/>
        <v>0.02</v>
      </c>
      <c r="BD4" s="124">
        <f t="shared" si="2"/>
        <v>0.02</v>
      </c>
      <c r="BE4" s="124">
        <f t="shared" si="2"/>
        <v>0.02</v>
      </c>
      <c r="BF4" s="124">
        <f t="shared" si="2"/>
        <v>0.02</v>
      </c>
      <c r="BG4" s="124">
        <f t="shared" si="2"/>
        <v>0.02</v>
      </c>
      <c r="BH4" s="124">
        <f t="shared" si="2"/>
        <v>0.02</v>
      </c>
      <c r="BI4" s="124">
        <f t="shared" si="2"/>
        <v>0.02</v>
      </c>
      <c r="BJ4" s="124">
        <f t="shared" si="2"/>
        <v>0.02</v>
      </c>
    </row>
    <row r="5" spans="1:62" s="97" customFormat="1" x14ac:dyDescent="0.2">
      <c r="A5" s="111"/>
      <c r="B5" s="130" t="s">
        <v>203</v>
      </c>
      <c r="C5" s="131">
        <v>2</v>
      </c>
      <c r="D5" s="131">
        <v>2</v>
      </c>
      <c r="E5" s="131">
        <v>3</v>
      </c>
      <c r="F5" s="131">
        <v>4</v>
      </c>
      <c r="G5" s="131">
        <v>86</v>
      </c>
      <c r="H5" s="98">
        <f>'Traffic Detail'!H5*H4</f>
        <v>88.888888888888886</v>
      </c>
      <c r="I5" s="98">
        <f>'Traffic Detail'!I5*I4</f>
        <v>88.888888888888886</v>
      </c>
      <c r="J5" s="98">
        <f>'Traffic Detail'!J5*J4</f>
        <v>88.888888888888886</v>
      </c>
      <c r="K5" s="98">
        <f>'Traffic Detail'!K5*K4</f>
        <v>88.888888888888886</v>
      </c>
      <c r="L5" s="98">
        <f>'Traffic Detail'!L5*L4</f>
        <v>88.888888888888886</v>
      </c>
      <c r="M5" s="98">
        <f>'Traffic Detail'!M5*M4</f>
        <v>88.888888888888886</v>
      </c>
      <c r="N5" s="98">
        <f>'Traffic Detail'!N5*N4</f>
        <v>88.888888888888886</v>
      </c>
      <c r="O5" s="98">
        <f>'Traffic Detail'!O5*O4</f>
        <v>88.888888888888886</v>
      </c>
      <c r="P5" s="98">
        <f>'Traffic Detail'!P5*P4</f>
        <v>88.888888888888886</v>
      </c>
      <c r="Q5" s="98">
        <f>'Traffic Detail'!Q5*Q4</f>
        <v>88.888888888888886</v>
      </c>
      <c r="R5" s="98">
        <f>'Traffic Detail'!R5*R4</f>
        <v>88.888888888888886</v>
      </c>
      <c r="S5" s="98">
        <f>'Traffic Detail'!S5*S4</f>
        <v>88.888888888888886</v>
      </c>
      <c r="T5" s="98">
        <f>'Traffic Detail'!T5*T4</f>
        <v>88.888888888888886</v>
      </c>
      <c r="U5" s="98">
        <f>'Traffic Detail'!U5*U4</f>
        <v>88.888888888888886</v>
      </c>
      <c r="V5" s="98">
        <f>'Traffic Detail'!V5*V4</f>
        <v>88.888888888888886</v>
      </c>
      <c r="W5" s="98">
        <f>'Traffic Detail'!W5*W4</f>
        <v>88.888888888888886</v>
      </c>
      <c r="X5" s="98">
        <f>'Traffic Detail'!X5*X4</f>
        <v>88.888888888888886</v>
      </c>
      <c r="Y5" s="98">
        <f>'Traffic Detail'!Y5*Y4</f>
        <v>88.888888888888886</v>
      </c>
      <c r="Z5" s="98">
        <f>'Traffic Detail'!Z5*Z4</f>
        <v>88.888888888888886</v>
      </c>
      <c r="AA5" s="98">
        <f>'Traffic Detail'!AA5*AA4</f>
        <v>88.888888888888886</v>
      </c>
      <c r="AB5" s="98">
        <f>'Traffic Detail'!AB5*AB4</f>
        <v>88.888888888888886</v>
      </c>
      <c r="AC5" s="98">
        <f>'Traffic Detail'!AC5*AC4</f>
        <v>88.888888888888886</v>
      </c>
      <c r="AD5" s="98">
        <f>'Traffic Detail'!AD5*AD4</f>
        <v>88.888888888888886</v>
      </c>
      <c r="AE5" s="98">
        <f>'Traffic Detail'!AE5*AE4</f>
        <v>88.888888888888886</v>
      </c>
      <c r="AF5" s="98">
        <f>'Traffic Detail'!AF5*AF4</f>
        <v>88.888888888888886</v>
      </c>
      <c r="AG5" s="98">
        <f>'Traffic Detail'!AG5*AG4</f>
        <v>88.888888888888886</v>
      </c>
      <c r="AH5" s="98">
        <f>'Traffic Detail'!AH5*AH4</f>
        <v>88.888888888888886</v>
      </c>
      <c r="AI5" s="98">
        <f>'Traffic Detail'!AI5*AI4</f>
        <v>88.888888888888886</v>
      </c>
      <c r="AJ5" s="98">
        <f>'Traffic Detail'!AJ5*AJ4</f>
        <v>88.888888888888886</v>
      </c>
      <c r="AK5" s="98">
        <f>'Traffic Detail'!AK5*AK4</f>
        <v>88.888888888888886</v>
      </c>
      <c r="AL5" s="98">
        <f>'Traffic Detail'!AL5*AL4</f>
        <v>88.888888888888886</v>
      </c>
      <c r="AM5" s="98">
        <f>'Traffic Detail'!AM5*AM4</f>
        <v>88.888888888888886</v>
      </c>
      <c r="AN5" s="98">
        <f>'Traffic Detail'!AN5*AN4</f>
        <v>88.888888888888886</v>
      </c>
      <c r="AO5" s="98">
        <f>'Traffic Detail'!AO5*AO4</f>
        <v>88.888888888888886</v>
      </c>
      <c r="AP5" s="98">
        <f>'Traffic Detail'!AP5*AP4</f>
        <v>88.888888888888886</v>
      </c>
      <c r="AQ5" s="98">
        <f>'Traffic Detail'!AQ5*AQ4</f>
        <v>88.888888888888886</v>
      </c>
      <c r="AR5" s="98">
        <f>'Traffic Detail'!AR5*AR4</f>
        <v>88.888888888888886</v>
      </c>
      <c r="AS5" s="98">
        <f>'Traffic Detail'!AS5*AS4</f>
        <v>88.888888888888886</v>
      </c>
      <c r="AT5" s="98">
        <f>'Traffic Detail'!AT5*AT4</f>
        <v>88.888888888888886</v>
      </c>
      <c r="AU5" s="98">
        <f>'Traffic Detail'!AU5*AU4</f>
        <v>88.888888888888886</v>
      </c>
      <c r="AV5" s="98">
        <f>'Traffic Detail'!AV5*AV4</f>
        <v>88.888888888888886</v>
      </c>
      <c r="AW5" s="98">
        <f>'Traffic Detail'!AW5*AW4</f>
        <v>88.888888888888886</v>
      </c>
      <c r="AX5" s="98">
        <f>'Traffic Detail'!AX5*AX4</f>
        <v>88.888888888888886</v>
      </c>
      <c r="AY5" s="98">
        <f>'Traffic Detail'!AY5*AY4</f>
        <v>88.888888888888886</v>
      </c>
      <c r="AZ5" s="98">
        <f>'Traffic Detail'!AZ5*AZ4</f>
        <v>88.888888888888886</v>
      </c>
      <c r="BA5" s="98">
        <f>'Traffic Detail'!BA5*BA4</f>
        <v>88.888888888888886</v>
      </c>
      <c r="BB5" s="98">
        <f>'Traffic Detail'!BB5*BB4</f>
        <v>88.888888888888886</v>
      </c>
      <c r="BC5" s="98">
        <f>'Traffic Detail'!BC5*BC4</f>
        <v>88.888888888888886</v>
      </c>
      <c r="BD5" s="98">
        <f>'Traffic Detail'!BD5*BD4</f>
        <v>88.888888888888886</v>
      </c>
      <c r="BE5" s="98">
        <f>'Traffic Detail'!BE5*BE4</f>
        <v>88.888888888888886</v>
      </c>
      <c r="BF5" s="98">
        <f>'Traffic Detail'!BF5*BF4</f>
        <v>88.888888888888886</v>
      </c>
      <c r="BG5" s="98">
        <f>'Traffic Detail'!BG5*BG4</f>
        <v>88.888888888888886</v>
      </c>
      <c r="BH5" s="98">
        <f>'Traffic Detail'!BH5*BH4</f>
        <v>88.888888888888886</v>
      </c>
      <c r="BI5" s="98">
        <f>'Traffic Detail'!BI5*BI4</f>
        <v>88.888888888888886</v>
      </c>
      <c r="BJ5" s="98">
        <f>'Traffic Detail'!BJ5*BJ4</f>
        <v>88.888888888888886</v>
      </c>
    </row>
    <row r="6" spans="1:62" s="123" customFormat="1" ht="14" x14ac:dyDescent="0.2">
      <c r="A6" s="128"/>
      <c r="B6" s="129" t="s">
        <v>207</v>
      </c>
      <c r="C6" s="99">
        <f>C7/'Traffic Detail'!C9</f>
        <v>9.5238095238095247E-3</v>
      </c>
      <c r="D6" s="99">
        <f>D7/'Traffic Detail'!D9</f>
        <v>6.993006993006993E-3</v>
      </c>
      <c r="E6" s="99">
        <f>E7/'Traffic Detail'!E9</f>
        <v>8.8495575221238937E-3</v>
      </c>
      <c r="F6" s="99">
        <f>F7/'Traffic Detail'!F9</f>
        <v>8.658008658008658E-3</v>
      </c>
      <c r="G6" s="99">
        <f>G7/'Traffic Detail'!G9</f>
        <v>9.8128293658004719E-3</v>
      </c>
      <c r="H6" s="124">
        <f t="shared" ref="H6:AM6" si="3">FacebookToSubscriber</f>
        <v>0.01</v>
      </c>
      <c r="I6" s="124">
        <f t="shared" si="3"/>
        <v>0.01</v>
      </c>
      <c r="J6" s="124">
        <f t="shared" si="3"/>
        <v>0.01</v>
      </c>
      <c r="K6" s="124">
        <f t="shared" si="3"/>
        <v>0.01</v>
      </c>
      <c r="L6" s="124">
        <f t="shared" si="3"/>
        <v>0.01</v>
      </c>
      <c r="M6" s="124">
        <f t="shared" si="3"/>
        <v>0.01</v>
      </c>
      <c r="N6" s="124">
        <f t="shared" si="3"/>
        <v>0.01</v>
      </c>
      <c r="O6" s="124">
        <f t="shared" si="3"/>
        <v>0.01</v>
      </c>
      <c r="P6" s="124">
        <f t="shared" si="3"/>
        <v>0.01</v>
      </c>
      <c r="Q6" s="124">
        <f t="shared" si="3"/>
        <v>0.01</v>
      </c>
      <c r="R6" s="124">
        <f t="shared" si="3"/>
        <v>0.01</v>
      </c>
      <c r="S6" s="124">
        <f t="shared" si="3"/>
        <v>0.01</v>
      </c>
      <c r="T6" s="124">
        <f t="shared" si="3"/>
        <v>0.01</v>
      </c>
      <c r="U6" s="124">
        <f t="shared" si="3"/>
        <v>0.01</v>
      </c>
      <c r="V6" s="124">
        <f t="shared" si="3"/>
        <v>0.01</v>
      </c>
      <c r="W6" s="124">
        <f t="shared" si="3"/>
        <v>0.01</v>
      </c>
      <c r="X6" s="124">
        <f t="shared" si="3"/>
        <v>0.01</v>
      </c>
      <c r="Y6" s="124">
        <f t="shared" si="3"/>
        <v>0.01</v>
      </c>
      <c r="Z6" s="124">
        <f t="shared" si="3"/>
        <v>0.01</v>
      </c>
      <c r="AA6" s="124">
        <f t="shared" si="3"/>
        <v>0.01</v>
      </c>
      <c r="AB6" s="124">
        <f t="shared" si="3"/>
        <v>0.01</v>
      </c>
      <c r="AC6" s="124">
        <f t="shared" si="3"/>
        <v>0.01</v>
      </c>
      <c r="AD6" s="124">
        <f t="shared" si="3"/>
        <v>0.01</v>
      </c>
      <c r="AE6" s="124">
        <f t="shared" si="3"/>
        <v>0.01</v>
      </c>
      <c r="AF6" s="124">
        <f t="shared" si="3"/>
        <v>0.01</v>
      </c>
      <c r="AG6" s="124">
        <f t="shared" si="3"/>
        <v>0.01</v>
      </c>
      <c r="AH6" s="124">
        <f t="shared" si="3"/>
        <v>0.01</v>
      </c>
      <c r="AI6" s="124">
        <f t="shared" si="3"/>
        <v>0.01</v>
      </c>
      <c r="AJ6" s="124">
        <f t="shared" si="3"/>
        <v>0.01</v>
      </c>
      <c r="AK6" s="124">
        <f t="shared" si="3"/>
        <v>0.01</v>
      </c>
      <c r="AL6" s="124">
        <f t="shared" si="3"/>
        <v>0.01</v>
      </c>
      <c r="AM6" s="124">
        <f t="shared" si="3"/>
        <v>0.01</v>
      </c>
      <c r="AN6" s="124">
        <f t="shared" ref="AN6:BJ6" si="4">FacebookToSubscriber</f>
        <v>0.01</v>
      </c>
      <c r="AO6" s="124">
        <f t="shared" si="4"/>
        <v>0.01</v>
      </c>
      <c r="AP6" s="124">
        <f t="shared" si="4"/>
        <v>0.01</v>
      </c>
      <c r="AQ6" s="124">
        <f t="shared" si="4"/>
        <v>0.01</v>
      </c>
      <c r="AR6" s="124">
        <f t="shared" si="4"/>
        <v>0.01</v>
      </c>
      <c r="AS6" s="124">
        <f t="shared" si="4"/>
        <v>0.01</v>
      </c>
      <c r="AT6" s="124">
        <f t="shared" si="4"/>
        <v>0.01</v>
      </c>
      <c r="AU6" s="124">
        <f t="shared" si="4"/>
        <v>0.01</v>
      </c>
      <c r="AV6" s="124">
        <f t="shared" si="4"/>
        <v>0.01</v>
      </c>
      <c r="AW6" s="124">
        <f t="shared" si="4"/>
        <v>0.01</v>
      </c>
      <c r="AX6" s="124">
        <f t="shared" si="4"/>
        <v>0.01</v>
      </c>
      <c r="AY6" s="124">
        <f t="shared" si="4"/>
        <v>0.01</v>
      </c>
      <c r="AZ6" s="124">
        <f t="shared" si="4"/>
        <v>0.01</v>
      </c>
      <c r="BA6" s="124">
        <f t="shared" si="4"/>
        <v>0.01</v>
      </c>
      <c r="BB6" s="124">
        <f t="shared" si="4"/>
        <v>0.01</v>
      </c>
      <c r="BC6" s="124">
        <f t="shared" si="4"/>
        <v>0.01</v>
      </c>
      <c r="BD6" s="124">
        <f t="shared" si="4"/>
        <v>0.01</v>
      </c>
      <c r="BE6" s="124">
        <f t="shared" si="4"/>
        <v>0.01</v>
      </c>
      <c r="BF6" s="124">
        <f t="shared" si="4"/>
        <v>0.01</v>
      </c>
      <c r="BG6" s="124">
        <f t="shared" si="4"/>
        <v>0.01</v>
      </c>
      <c r="BH6" s="124">
        <f t="shared" si="4"/>
        <v>0.01</v>
      </c>
      <c r="BI6" s="124">
        <f t="shared" si="4"/>
        <v>0.01</v>
      </c>
      <c r="BJ6" s="124">
        <f t="shared" si="4"/>
        <v>0.01</v>
      </c>
    </row>
    <row r="7" spans="1:62" s="97" customFormat="1" x14ac:dyDescent="0.2">
      <c r="A7" s="111"/>
      <c r="B7" s="130" t="s">
        <v>204</v>
      </c>
      <c r="C7" s="113">
        <v>1</v>
      </c>
      <c r="D7" s="113">
        <v>1</v>
      </c>
      <c r="E7" s="113">
        <v>2</v>
      </c>
      <c r="F7" s="113">
        <v>2</v>
      </c>
      <c r="G7" s="113">
        <v>54</v>
      </c>
      <c r="H7" s="97">
        <f xml:space="preserve"> 'Traffic Detail'!H9*H6</f>
        <v>54.054054054054049</v>
      </c>
      <c r="I7" s="97">
        <f xml:space="preserve"> 'Traffic Detail'!I9*I6</f>
        <v>54.054054054054049</v>
      </c>
      <c r="J7" s="97">
        <f xml:space="preserve"> 'Traffic Detail'!J9*J6</f>
        <v>54.054054054054049</v>
      </c>
      <c r="K7" s="97">
        <f xml:space="preserve"> 'Traffic Detail'!K9*K6</f>
        <v>54.054054054054049</v>
      </c>
      <c r="L7" s="97">
        <f xml:space="preserve"> 'Traffic Detail'!L9*L6</f>
        <v>54.054054054054049</v>
      </c>
      <c r="M7" s="97">
        <f xml:space="preserve"> 'Traffic Detail'!M9*M6</f>
        <v>54.054054054054049</v>
      </c>
      <c r="N7" s="97">
        <f xml:space="preserve"> 'Traffic Detail'!N9*N6</f>
        <v>54.054054054054049</v>
      </c>
      <c r="O7" s="97">
        <f xml:space="preserve"> 'Traffic Detail'!O9*O6</f>
        <v>54.054054054054049</v>
      </c>
      <c r="P7" s="97">
        <f xml:space="preserve"> 'Traffic Detail'!P9*P6</f>
        <v>54.054054054054049</v>
      </c>
      <c r="Q7" s="97">
        <f xml:space="preserve"> 'Traffic Detail'!Q9*Q6</f>
        <v>54.054054054054049</v>
      </c>
      <c r="R7" s="97">
        <f xml:space="preserve"> 'Traffic Detail'!R9*R6</f>
        <v>54.054054054054049</v>
      </c>
      <c r="S7" s="97">
        <f xml:space="preserve"> 'Traffic Detail'!S9*S6</f>
        <v>54.054054054054049</v>
      </c>
      <c r="T7" s="97">
        <f xml:space="preserve"> 'Traffic Detail'!T9*T6</f>
        <v>54.054054054054049</v>
      </c>
      <c r="U7" s="97">
        <f xml:space="preserve"> 'Traffic Detail'!U9*U6</f>
        <v>54.054054054054049</v>
      </c>
      <c r="V7" s="97">
        <f xml:space="preserve"> 'Traffic Detail'!V9*V6</f>
        <v>54.054054054054049</v>
      </c>
      <c r="W7" s="97">
        <f xml:space="preserve"> 'Traffic Detail'!W9*W6</f>
        <v>54.054054054054049</v>
      </c>
      <c r="X7" s="97">
        <f xml:space="preserve"> 'Traffic Detail'!X9*X6</f>
        <v>54.054054054054049</v>
      </c>
      <c r="Y7" s="97">
        <f xml:space="preserve"> 'Traffic Detail'!Y9*Y6</f>
        <v>54.054054054054049</v>
      </c>
      <c r="Z7" s="97">
        <f xml:space="preserve"> 'Traffic Detail'!Z9*Z6</f>
        <v>54.054054054054049</v>
      </c>
      <c r="AA7" s="97">
        <f xml:space="preserve"> 'Traffic Detail'!AA9*AA6</f>
        <v>54.054054054054049</v>
      </c>
      <c r="AB7" s="97">
        <f xml:space="preserve"> 'Traffic Detail'!AB9*AB6</f>
        <v>54.054054054054049</v>
      </c>
      <c r="AC7" s="97">
        <f xml:space="preserve"> 'Traffic Detail'!AC9*AC6</f>
        <v>54.054054054054049</v>
      </c>
      <c r="AD7" s="97">
        <f xml:space="preserve"> 'Traffic Detail'!AD9*AD6</f>
        <v>54.054054054054049</v>
      </c>
      <c r="AE7" s="97">
        <f xml:space="preserve"> 'Traffic Detail'!AE9*AE6</f>
        <v>54.054054054054049</v>
      </c>
      <c r="AF7" s="97">
        <f xml:space="preserve"> 'Traffic Detail'!AF9*AF6</f>
        <v>54.054054054054049</v>
      </c>
      <c r="AG7" s="97">
        <f xml:space="preserve"> 'Traffic Detail'!AG9*AG6</f>
        <v>54.054054054054049</v>
      </c>
      <c r="AH7" s="97">
        <f xml:space="preserve"> 'Traffic Detail'!AH9*AH6</f>
        <v>54.054054054054049</v>
      </c>
      <c r="AI7" s="97">
        <f xml:space="preserve"> 'Traffic Detail'!AI9*AI6</f>
        <v>54.054054054054049</v>
      </c>
      <c r="AJ7" s="97">
        <f xml:space="preserve"> 'Traffic Detail'!AJ9*AJ6</f>
        <v>54.054054054054049</v>
      </c>
      <c r="AK7" s="97">
        <f xml:space="preserve"> 'Traffic Detail'!AK9*AK6</f>
        <v>54.054054054054049</v>
      </c>
      <c r="AL7" s="97">
        <f xml:space="preserve"> 'Traffic Detail'!AL9*AL6</f>
        <v>54.054054054054049</v>
      </c>
      <c r="AM7" s="97">
        <f xml:space="preserve"> 'Traffic Detail'!AM9*AM6</f>
        <v>54.054054054054049</v>
      </c>
      <c r="AN7" s="97">
        <f xml:space="preserve"> 'Traffic Detail'!AN9*AN6</f>
        <v>54.054054054054049</v>
      </c>
      <c r="AO7" s="97">
        <f xml:space="preserve"> 'Traffic Detail'!AO9*AO6</f>
        <v>54.054054054054049</v>
      </c>
      <c r="AP7" s="97">
        <f xml:space="preserve"> 'Traffic Detail'!AP9*AP6</f>
        <v>54.054054054054049</v>
      </c>
      <c r="AQ7" s="97">
        <f xml:space="preserve"> 'Traffic Detail'!AQ9*AQ6</f>
        <v>54.054054054054049</v>
      </c>
      <c r="AR7" s="97">
        <f xml:space="preserve"> 'Traffic Detail'!AR9*AR6</f>
        <v>54.054054054054049</v>
      </c>
      <c r="AS7" s="97">
        <f xml:space="preserve"> 'Traffic Detail'!AS9*AS6</f>
        <v>54.054054054054049</v>
      </c>
      <c r="AT7" s="97">
        <f xml:space="preserve"> 'Traffic Detail'!AT9*AT6</f>
        <v>54.054054054054049</v>
      </c>
      <c r="AU7" s="97">
        <f xml:space="preserve"> 'Traffic Detail'!AU9*AU6</f>
        <v>54.054054054054049</v>
      </c>
      <c r="AV7" s="97">
        <f xml:space="preserve"> 'Traffic Detail'!AV9*AV6</f>
        <v>54.054054054054049</v>
      </c>
      <c r="AW7" s="97">
        <f xml:space="preserve"> 'Traffic Detail'!AW9*AW6</f>
        <v>54.054054054054049</v>
      </c>
      <c r="AX7" s="97">
        <f xml:space="preserve"> 'Traffic Detail'!AX9*AX6</f>
        <v>54.054054054054049</v>
      </c>
      <c r="AY7" s="97">
        <f xml:space="preserve"> 'Traffic Detail'!AY9*AY6</f>
        <v>54.054054054054049</v>
      </c>
      <c r="AZ7" s="97">
        <f xml:space="preserve"> 'Traffic Detail'!AZ9*AZ6</f>
        <v>54.054054054054049</v>
      </c>
      <c r="BA7" s="97">
        <f xml:space="preserve"> 'Traffic Detail'!BA9*BA6</f>
        <v>54.054054054054049</v>
      </c>
      <c r="BB7" s="97">
        <f xml:space="preserve"> 'Traffic Detail'!BB9*BB6</f>
        <v>54.054054054054049</v>
      </c>
      <c r="BC7" s="97">
        <f xml:space="preserve"> 'Traffic Detail'!BC9*BC6</f>
        <v>54.054054054054049</v>
      </c>
      <c r="BD7" s="97">
        <f xml:space="preserve"> 'Traffic Detail'!BD9*BD6</f>
        <v>54.054054054054049</v>
      </c>
      <c r="BE7" s="97">
        <f xml:space="preserve"> 'Traffic Detail'!BE9*BE6</f>
        <v>54.054054054054049</v>
      </c>
      <c r="BF7" s="97">
        <f xml:space="preserve"> 'Traffic Detail'!BF9*BF6</f>
        <v>54.054054054054049</v>
      </c>
      <c r="BG7" s="97">
        <f xml:space="preserve"> 'Traffic Detail'!BG9*BG6</f>
        <v>54.054054054054049</v>
      </c>
      <c r="BH7" s="97">
        <f xml:space="preserve"> 'Traffic Detail'!BH9*BH6</f>
        <v>54.054054054054049</v>
      </c>
      <c r="BI7" s="97">
        <f xml:space="preserve"> 'Traffic Detail'!BI9*BI6</f>
        <v>54.054054054054049</v>
      </c>
      <c r="BJ7" s="97">
        <f xml:space="preserve"> 'Traffic Detail'!BJ9*BJ6</f>
        <v>54.054054054054049</v>
      </c>
    </row>
    <row r="8" spans="1:62" s="123" customFormat="1" ht="14" x14ac:dyDescent="0.2">
      <c r="A8" s="128"/>
      <c r="B8" s="129" t="s">
        <v>208</v>
      </c>
      <c r="C8" s="99">
        <f>C9/('Traffic Detail'!C13+'Traffic Detail'!C17+'Traffic Detail'!C19+'Traffic Detail'!C20)</f>
        <v>1.8467220683287165E-3</v>
      </c>
      <c r="D8" s="99">
        <f>D9/('Traffic Detail'!D13+'Traffic Detail'!D17+'Traffic Detail'!D19+'Traffic Detail'!D20)</f>
        <v>1.9206145966709346E-3</v>
      </c>
      <c r="E8" s="99">
        <f>E9/('Traffic Detail'!E13+'Traffic Detail'!E17+'Traffic Detail'!E19+'Traffic Detail'!E20)</f>
        <v>1.9880715705765406E-3</v>
      </c>
      <c r="F8" s="99">
        <f>F9/('Traffic Detail'!F13+'Traffic Detail'!F17+'Traffic Detail'!F19+'Traffic Detail'!F20)</f>
        <v>1.8223234624145787E-3</v>
      </c>
      <c r="G8" s="99">
        <f>G9/('Traffic Detail'!G13+'Traffic Detail'!G17+'Traffic Detail'!G19+'Traffic Detail'!G20)</f>
        <v>2.1394187912283829E-3</v>
      </c>
      <c r="H8" s="124">
        <f t="shared" ref="H8:AM8" si="5">OrganicToSubscriberConversion</f>
        <v>2E-3</v>
      </c>
      <c r="I8" s="124">
        <f t="shared" si="5"/>
        <v>2E-3</v>
      </c>
      <c r="J8" s="124">
        <f t="shared" si="5"/>
        <v>2E-3</v>
      </c>
      <c r="K8" s="124">
        <f t="shared" si="5"/>
        <v>2E-3</v>
      </c>
      <c r="L8" s="124">
        <f t="shared" si="5"/>
        <v>2E-3</v>
      </c>
      <c r="M8" s="124">
        <f t="shared" si="5"/>
        <v>2E-3</v>
      </c>
      <c r="N8" s="124">
        <f t="shared" si="5"/>
        <v>2E-3</v>
      </c>
      <c r="O8" s="124">
        <f t="shared" si="5"/>
        <v>2E-3</v>
      </c>
      <c r="P8" s="124">
        <f t="shared" si="5"/>
        <v>2E-3</v>
      </c>
      <c r="Q8" s="124">
        <f t="shared" si="5"/>
        <v>2E-3</v>
      </c>
      <c r="R8" s="124">
        <f t="shared" si="5"/>
        <v>2E-3</v>
      </c>
      <c r="S8" s="124">
        <f t="shared" si="5"/>
        <v>2E-3</v>
      </c>
      <c r="T8" s="124">
        <f t="shared" si="5"/>
        <v>2E-3</v>
      </c>
      <c r="U8" s="124">
        <f t="shared" si="5"/>
        <v>2E-3</v>
      </c>
      <c r="V8" s="124">
        <f t="shared" si="5"/>
        <v>2E-3</v>
      </c>
      <c r="W8" s="124">
        <f t="shared" si="5"/>
        <v>2E-3</v>
      </c>
      <c r="X8" s="124">
        <f t="shared" si="5"/>
        <v>2E-3</v>
      </c>
      <c r="Y8" s="124">
        <f t="shared" si="5"/>
        <v>2E-3</v>
      </c>
      <c r="Z8" s="124">
        <f t="shared" si="5"/>
        <v>2E-3</v>
      </c>
      <c r="AA8" s="124">
        <f t="shared" si="5"/>
        <v>2E-3</v>
      </c>
      <c r="AB8" s="124">
        <f t="shared" si="5"/>
        <v>2E-3</v>
      </c>
      <c r="AC8" s="124">
        <f t="shared" si="5"/>
        <v>2E-3</v>
      </c>
      <c r="AD8" s="124">
        <f t="shared" si="5"/>
        <v>2E-3</v>
      </c>
      <c r="AE8" s="124">
        <f t="shared" si="5"/>
        <v>2E-3</v>
      </c>
      <c r="AF8" s="124">
        <f t="shared" si="5"/>
        <v>2E-3</v>
      </c>
      <c r="AG8" s="124">
        <f t="shared" si="5"/>
        <v>2E-3</v>
      </c>
      <c r="AH8" s="124">
        <f t="shared" si="5"/>
        <v>2E-3</v>
      </c>
      <c r="AI8" s="124">
        <f t="shared" si="5"/>
        <v>2E-3</v>
      </c>
      <c r="AJ8" s="124">
        <f t="shared" si="5"/>
        <v>2E-3</v>
      </c>
      <c r="AK8" s="124">
        <f t="shared" si="5"/>
        <v>2E-3</v>
      </c>
      <c r="AL8" s="124">
        <f t="shared" si="5"/>
        <v>2E-3</v>
      </c>
      <c r="AM8" s="124">
        <f t="shared" si="5"/>
        <v>2E-3</v>
      </c>
      <c r="AN8" s="124">
        <f t="shared" ref="AN8:BJ8" si="6">OrganicToSubscriberConversion</f>
        <v>2E-3</v>
      </c>
      <c r="AO8" s="124">
        <f t="shared" si="6"/>
        <v>2E-3</v>
      </c>
      <c r="AP8" s="124">
        <f t="shared" si="6"/>
        <v>2E-3</v>
      </c>
      <c r="AQ8" s="124">
        <f t="shared" si="6"/>
        <v>2E-3</v>
      </c>
      <c r="AR8" s="124">
        <f t="shared" si="6"/>
        <v>2E-3</v>
      </c>
      <c r="AS8" s="124">
        <f t="shared" si="6"/>
        <v>2E-3</v>
      </c>
      <c r="AT8" s="124">
        <f t="shared" si="6"/>
        <v>2E-3</v>
      </c>
      <c r="AU8" s="124">
        <f t="shared" si="6"/>
        <v>2E-3</v>
      </c>
      <c r="AV8" s="124">
        <f t="shared" si="6"/>
        <v>2E-3</v>
      </c>
      <c r="AW8" s="124">
        <f t="shared" si="6"/>
        <v>2E-3</v>
      </c>
      <c r="AX8" s="124">
        <f t="shared" si="6"/>
        <v>2E-3</v>
      </c>
      <c r="AY8" s="124">
        <f t="shared" si="6"/>
        <v>2E-3</v>
      </c>
      <c r="AZ8" s="124">
        <f t="shared" si="6"/>
        <v>2E-3</v>
      </c>
      <c r="BA8" s="124">
        <f t="shared" si="6"/>
        <v>2E-3</v>
      </c>
      <c r="BB8" s="124">
        <f t="shared" si="6"/>
        <v>2E-3</v>
      </c>
      <c r="BC8" s="124">
        <f t="shared" si="6"/>
        <v>2E-3</v>
      </c>
      <c r="BD8" s="124">
        <f t="shared" si="6"/>
        <v>2E-3</v>
      </c>
      <c r="BE8" s="124">
        <f t="shared" si="6"/>
        <v>2E-3</v>
      </c>
      <c r="BF8" s="124">
        <f t="shared" si="6"/>
        <v>2E-3</v>
      </c>
      <c r="BG8" s="124">
        <f t="shared" si="6"/>
        <v>2E-3</v>
      </c>
      <c r="BH8" s="124">
        <f t="shared" si="6"/>
        <v>2E-3</v>
      </c>
      <c r="BI8" s="124">
        <f t="shared" si="6"/>
        <v>2E-3</v>
      </c>
      <c r="BJ8" s="124">
        <f t="shared" si="6"/>
        <v>2E-3</v>
      </c>
    </row>
    <row r="9" spans="1:62" s="97" customFormat="1" x14ac:dyDescent="0.2">
      <c r="A9" s="111"/>
      <c r="B9" s="130" t="s">
        <v>205</v>
      </c>
      <c r="C9" s="113">
        <v>2</v>
      </c>
      <c r="D9" s="113">
        <v>3</v>
      </c>
      <c r="E9" s="113">
        <v>4</v>
      </c>
      <c r="F9" s="113">
        <v>4</v>
      </c>
      <c r="G9" s="113">
        <v>12</v>
      </c>
      <c r="H9" s="97">
        <f>('Traffic Detail'!H13+'Traffic Detail'!H17+'Traffic Detail'!H19+'Traffic Detail'!H20)*OrganicToSubscriberConversion</f>
        <v>11.4986769009009</v>
      </c>
      <c r="I9" s="97">
        <f>('Traffic Detail'!I13+'Traffic Detail'!I17+'Traffic Detail'!I19+'Traffic Detail'!I20)*OrganicToSubscriberConversion</f>
        <v>11.970000500900902</v>
      </c>
      <c r="J9" s="97">
        <f>('Traffic Detail'!J13+'Traffic Detail'!J17+'Traffic Detail'!J19+'Traffic Detail'!J20)*OrganicToSubscriberConversion</f>
        <v>12.475652460900902</v>
      </c>
      <c r="K9" s="97">
        <f>('Traffic Detail'!K13+'Traffic Detail'!K17+'Traffic Detail'!K19+'Traffic Detail'!K20)*OrganicToSubscriberConversion</f>
        <v>13.018735616900901</v>
      </c>
      <c r="L9" s="97">
        <f>('Traffic Detail'!L13+'Traffic Detail'!L17+'Traffic Detail'!L19+'Traffic Detail'!L20)*OrganicToSubscriberConversion</f>
        <v>13.604709088500904</v>
      </c>
      <c r="M9" s="97">
        <f>('Traffic Detail'!M13+'Traffic Detail'!M17+'Traffic Detail'!M19+'Traffic Detail'!M20)*OrganicToSubscriberConversion</f>
        <v>14.238125907260903</v>
      </c>
      <c r="N9" s="97">
        <f>('Traffic Detail'!N13+'Traffic Detail'!N17+'Traffic Detail'!N19+'Traffic Detail'!N20)*OrganicToSubscriberConversion</f>
        <v>14.923334407896906</v>
      </c>
      <c r="O9" s="97">
        <f>('Traffic Detail'!O13+'Traffic Detail'!O17+'Traffic Detail'!O19+'Traffic Detail'!O20)*OrganicToSubscriberConversion</f>
        <v>15.666503758596507</v>
      </c>
      <c r="P9" s="97">
        <f>('Traffic Detail'!P13+'Traffic Detail'!P17+'Traffic Detail'!P19+'Traffic Detail'!P20)*OrganicToSubscriberConversion</f>
        <v>16.473694044366066</v>
      </c>
      <c r="Q9" s="97">
        <f>('Traffic Detail'!Q13+'Traffic Detail'!Q17+'Traffic Detail'!Q19+'Traffic Detail'!Q20)*OrganicToSubscriberConversion</f>
        <v>17.351571358712583</v>
      </c>
      <c r="R9" s="97">
        <f>('Traffic Detail'!R13+'Traffic Detail'!R17+'Traffic Detail'!R19+'Traffic Detail'!R20)*OrganicToSubscriberConversion</f>
        <v>18.308128404493754</v>
      </c>
      <c r="S9" s="97">
        <f>('Traffic Detail'!S13+'Traffic Detail'!S17+'Traffic Detail'!S19+'Traffic Detail'!S20)*OrganicToSubscriberConversion</f>
        <v>19.350771154853039</v>
      </c>
      <c r="T9" s="97">
        <f>('Traffic Detail'!T13+'Traffic Detail'!T17+'Traffic Detail'!T19+'Traffic Detail'!T20)*OrganicToSubscriberConversion</f>
        <v>20.489032180248255</v>
      </c>
      <c r="U9" s="97">
        <f>('Traffic Detail'!U13+'Traffic Detail'!U17+'Traffic Detail'!U19+'Traffic Detail'!U20)*OrganicToSubscriberConversion</f>
        <v>21.73267130818299</v>
      </c>
      <c r="V9" s="97">
        <f>('Traffic Detail'!V13+'Traffic Detail'!V17+'Traffic Detail'!V19+'Traffic Detail'!V20)*OrganicToSubscriberConversion</f>
        <v>23.093744348911205</v>
      </c>
      <c r="W9" s="97">
        <f>('Traffic Detail'!W13+'Traffic Detail'!W17+'Traffic Detail'!W19+'Traffic Detail'!W20)*OrganicToSubscriberConversion</f>
        <v>24.582740693712232</v>
      </c>
      <c r="X9" s="97">
        <f>('Traffic Detail'!X13+'Traffic Detail'!X17+'Traffic Detail'!X19+'Traffic Detail'!X20)*OrganicToSubscriberConversion</f>
        <v>26.213310672993369</v>
      </c>
      <c r="Y9" s="97">
        <f>('Traffic Detail'!Y13+'Traffic Detail'!Y17+'Traffic Detail'!Y19+'Traffic Detail'!Y20)*OrganicToSubscriberConversion</f>
        <v>27.999743650202618</v>
      </c>
      <c r="Z9" s="97">
        <f>('Traffic Detail'!Z13+'Traffic Detail'!Z17+'Traffic Detail'!Z19+'Traffic Detail'!Z20)*OrganicToSubscriberConversion</f>
        <v>29.957757925132793</v>
      </c>
      <c r="AA9" s="97">
        <f>('Traffic Detail'!AA13+'Traffic Detail'!AA17+'Traffic Detail'!AA19+'Traffic Detail'!AA20)*OrganicToSubscriberConversion</f>
        <v>32.105303627555983</v>
      </c>
      <c r="AB9" s="97">
        <f>('Traffic Detail'!AB13+'Traffic Detail'!AB17+'Traffic Detail'!AB19+'Traffic Detail'!AB20)*OrganicToSubscriberConversion</f>
        <v>34.460739900221498</v>
      </c>
      <c r="AC9" s="97">
        <f>('Traffic Detail'!AC13+'Traffic Detail'!AC17+'Traffic Detail'!AC19+'Traffic Detail'!AC20)*OrganicToSubscriberConversion</f>
        <v>37.045647800153553</v>
      </c>
      <c r="AD9" s="97">
        <f>('Traffic Detail'!AD13+'Traffic Detail'!AD17+'Traffic Detail'!AD19+'Traffic Detail'!AD20)*OrganicToSubscriberConversion</f>
        <v>39.883700490078823</v>
      </c>
      <c r="AE9" s="97">
        <f>('Traffic Detail'!AE13+'Traffic Detail'!AE17+'Traffic Detail'!AE19+'Traffic Detail'!AE20)*OrganicToSubscriberConversion</f>
        <v>43.000212448996614</v>
      </c>
      <c r="AF9" s="97">
        <f>('Traffic Detail'!AF13+'Traffic Detail'!AF17+'Traffic Detail'!AF19+'Traffic Detail'!AF20)*OrganicToSubscriberConversion</f>
        <v>46.422369603806189</v>
      </c>
      <c r="AG9" s="97">
        <f>('Traffic Detail'!AG13+'Traffic Detail'!AG17+'Traffic Detail'!AG19+'Traffic Detail'!AG20)*OrganicToSubscriberConversion</f>
        <v>50.181462474096726</v>
      </c>
      <c r="AH9" s="97">
        <f>('Traffic Detail'!AH13+'Traffic Detail'!AH17+'Traffic Detail'!AH19+'Traffic Detail'!AH20)*OrganicToSubscriberConversion</f>
        <v>54.311844631416307</v>
      </c>
      <c r="AI9" s="97">
        <f>('Traffic Detail'!AI13+'Traffic Detail'!AI17+'Traffic Detail'!AI19+'Traffic Detail'!AI20)*OrganicToSubscriberConversion</f>
        <v>58.85057900446786</v>
      </c>
      <c r="AJ9" s="97">
        <f>('Traffic Detail'!AJ13+'Traffic Detail'!AJ17+'Traffic Detail'!AJ19+'Traffic Detail'!AJ20)*OrganicToSubscriberConversion</f>
        <v>63.839094814824556</v>
      </c>
      <c r="AK9" s="97">
        <f>('Traffic Detail'!AK13+'Traffic Detail'!AK17+'Traffic Detail'!AK19+'Traffic Detail'!AK20)*OrganicToSubscriberConversion</f>
        <v>69.321578206216913</v>
      </c>
      <c r="AL9" s="97">
        <f>('Traffic Detail'!AL13+'Traffic Detail'!AL17+'Traffic Detail'!AL19+'Traffic Detail'!AL20)*OrganicToSubscriberConversion</f>
        <v>75.348019936748528</v>
      </c>
      <c r="AM9" s="97">
        <f>('Traffic Detail'!AM13+'Traffic Detail'!AM17+'Traffic Detail'!AM19+'Traffic Detail'!AM20)*OrganicToSubscriberConversion</f>
        <v>81.972683840333303</v>
      </c>
      <c r="AN9" s="97">
        <f>('Traffic Detail'!AN13+'Traffic Detail'!AN17+'Traffic Detail'!AN19+'Traffic Detail'!AN20)*OrganicToSubscriberConversion</f>
        <v>89.256580134276533</v>
      </c>
      <c r="AO9" s="97">
        <f>('Traffic Detail'!AO13+'Traffic Detail'!AO17+'Traffic Detail'!AO19+'Traffic Detail'!AO20)*OrganicToSubscriberConversion</f>
        <v>97.264708057614101</v>
      </c>
      <c r="AP9" s="97">
        <f>('Traffic Detail'!AP13+'Traffic Detail'!AP17+'Traffic Detail'!AP19+'Traffic Detail'!AP20)*OrganicToSubscriberConversion</f>
        <v>106.06995277328544</v>
      </c>
      <c r="AQ9" s="97">
        <f>('Traffic Detail'!AQ13+'Traffic Detail'!AQ17+'Traffic Detail'!AQ19+'Traffic Detail'!AQ20)*OrganicToSubscriberConversion</f>
        <v>115.75242196052389</v>
      </c>
      <c r="AR9" s="97">
        <f>('Traffic Detail'!AR13+'Traffic Detail'!AR17+'Traffic Detail'!AR19+'Traffic Detail'!AR20)*OrganicToSubscriberConversion</f>
        <v>126.40016806648619</v>
      </c>
      <c r="AS9" s="97">
        <f>('Traffic Detail'!AS13+'Traffic Detail'!AS17+'Traffic Detail'!AS19+'Traffic Detail'!AS20)*OrganicToSubscriberConversion</f>
        <v>138.10932278304475</v>
      </c>
      <c r="AT9" s="97">
        <f>('Traffic Detail'!AT13+'Traffic Detail'!AT17+'Traffic Detail'!AT19+'Traffic Detail'!AT20)*OrganicToSubscriberConversion</f>
        <v>150.98629097125914</v>
      </c>
      <c r="AU9" s="97">
        <f>('Traffic Detail'!AU13+'Traffic Detail'!AU17+'Traffic Detail'!AU19+'Traffic Detail'!AU20)*OrganicToSubscriberConversion</f>
        <v>165.14805197829497</v>
      </c>
      <c r="AV9" s="97">
        <f>('Traffic Detail'!AV13+'Traffic Detail'!AV17+'Traffic Detail'!AV19+'Traffic Detail'!AV20)*OrganicToSubscriberConversion</f>
        <v>180.7232170860344</v>
      </c>
      <c r="AW9" s="97">
        <f>('Traffic Detail'!AW13+'Traffic Detail'!AW17+'Traffic Detail'!AW19+'Traffic Detail'!AW20)*OrganicToSubscriberConversion</f>
        <v>197.85319270454775</v>
      </c>
      <c r="AX9" s="97">
        <f>('Traffic Detail'!AX13+'Traffic Detail'!AX17+'Traffic Detail'!AX19+'Traffic Detail'!AX20)*OrganicToSubscriberConversion</f>
        <v>216.69345988491244</v>
      </c>
      <c r="AY9" s="97">
        <f>('Traffic Detail'!AY13+'Traffic Detail'!AY17+'Traffic Detail'!AY19+'Traffic Detail'!AY20)*OrganicToSubscriberConversion</f>
        <v>237.41498178331364</v>
      </c>
      <c r="AZ9" s="97">
        <f>('Traffic Detail'!AZ13+'Traffic Detail'!AZ17+'Traffic Detail'!AZ19+'Traffic Detail'!AZ20)*OrganicToSubscriberConversion</f>
        <v>260.20575187155492</v>
      </c>
      <c r="BA9" s="97">
        <f>('Traffic Detail'!BA13+'Traffic Detail'!BA17+'Traffic Detail'!BA19+'Traffic Detail'!BA20)*OrganicToSubscriberConversion</f>
        <v>285.27381696862034</v>
      </c>
      <c r="BB9" s="97">
        <f>('Traffic Detail'!BB13+'Traffic Detail'!BB17+'Traffic Detail'!BB19+'Traffic Detail'!BB20)*OrganicToSubscriberConversion</f>
        <v>312.8465105753923</v>
      </c>
      <c r="BC9" s="97">
        <f>('Traffic Detail'!BC13+'Traffic Detail'!BC17+'Traffic Detail'!BC19+'Traffic Detail'!BC20)*OrganicToSubscriberConversion</f>
        <v>343.17449354284139</v>
      </c>
      <c r="BD9" s="97">
        <f>('Traffic Detail'!BD13+'Traffic Detail'!BD17+'Traffic Detail'!BD19+'Traffic Detail'!BD20)*OrganicToSubscriberConversion</f>
        <v>376.53336080703548</v>
      </c>
      <c r="BE9" s="97">
        <f>('Traffic Detail'!BE13+'Traffic Detail'!BE17+'Traffic Detail'!BE19+'Traffic Detail'!BE20)*OrganicToSubscriberConversion</f>
        <v>413.22547479764899</v>
      </c>
      <c r="BF9" s="97">
        <f>('Traffic Detail'!BF13+'Traffic Detail'!BF17+'Traffic Detail'!BF19+'Traffic Detail'!BF20)*OrganicToSubscriberConversion</f>
        <v>453.5853481873238</v>
      </c>
      <c r="BG9" s="97">
        <f>('Traffic Detail'!BG13+'Traffic Detail'!BG17+'Traffic Detail'!BG19+'Traffic Detail'!BG20)*OrganicToSubscriberConversion</f>
        <v>497.98002091596612</v>
      </c>
      <c r="BH9" s="97">
        <f>('Traffic Detail'!BH13+'Traffic Detail'!BH17+'Traffic Detail'!BH19+'Traffic Detail'!BH20)*OrganicToSubscriberConversion</f>
        <v>546.81171891747272</v>
      </c>
      <c r="BI9" s="97">
        <f>('Traffic Detail'!BI13+'Traffic Detail'!BI17+'Traffic Detail'!BI19+'Traffic Detail'!BI20)*OrganicToSubscriberConversion</f>
        <v>600.52480471912997</v>
      </c>
      <c r="BJ9" s="97">
        <f>('Traffic Detail'!BJ13+'Traffic Detail'!BJ17+'Traffic Detail'!BJ19+'Traffic Detail'!BJ20)*OrganicToSubscriberConversion</f>
        <v>659.60715310095281</v>
      </c>
    </row>
    <row r="10" spans="1:62" s="1" customFormat="1" x14ac:dyDescent="0.2">
      <c r="A10" s="111"/>
      <c r="B10" s="111" t="s">
        <v>12</v>
      </c>
      <c r="C10" s="113">
        <f>ROUND(C5+C7+C9,0)</f>
        <v>5</v>
      </c>
      <c r="D10" s="113">
        <f t="shared" ref="D10:H10" si="7">ROUND(D5+D7+D9,0)</f>
        <v>6</v>
      </c>
      <c r="E10" s="113">
        <f t="shared" si="7"/>
        <v>9</v>
      </c>
      <c r="F10" s="113">
        <f t="shared" si="7"/>
        <v>10</v>
      </c>
      <c r="G10" s="113">
        <f t="shared" si="7"/>
        <v>152</v>
      </c>
      <c r="H10" s="1">
        <f t="shared" si="7"/>
        <v>154</v>
      </c>
      <c r="I10" s="1">
        <f t="shared" ref="I10" si="8">ROUND(I5+I7+I9,0)</f>
        <v>155</v>
      </c>
      <c r="J10" s="1">
        <f t="shared" ref="J10" si="9">ROUND(J5+J7+J9,0)</f>
        <v>155</v>
      </c>
      <c r="K10" s="1">
        <f t="shared" ref="K10" si="10">ROUND(K5+K7+K9,0)</f>
        <v>156</v>
      </c>
      <c r="L10" s="1">
        <f t="shared" ref="L10" si="11">ROUND(L5+L7+L9,0)</f>
        <v>157</v>
      </c>
      <c r="M10" s="1">
        <f t="shared" ref="M10" si="12">ROUND(M5+M7+M9,0)</f>
        <v>157</v>
      </c>
      <c r="N10" s="1">
        <f t="shared" ref="N10" si="13">ROUND(N5+N7+N9,0)</f>
        <v>158</v>
      </c>
      <c r="O10" s="1">
        <f t="shared" ref="O10" si="14">ROUND(O5+O7+O9,0)</f>
        <v>159</v>
      </c>
      <c r="P10" s="1">
        <f t="shared" ref="P10" si="15">ROUND(P5+P7+P9,0)</f>
        <v>159</v>
      </c>
      <c r="Q10" s="1">
        <f t="shared" ref="Q10" si="16">ROUND(Q5+Q7+Q9,0)</f>
        <v>160</v>
      </c>
      <c r="R10" s="1">
        <f t="shared" ref="R10" si="17">ROUND(R5+R7+R9,0)</f>
        <v>161</v>
      </c>
      <c r="S10" s="1">
        <f t="shared" ref="S10" si="18">ROUND(S5+S7+S9,0)</f>
        <v>162</v>
      </c>
      <c r="T10" s="1">
        <f t="shared" ref="T10" si="19">ROUND(T5+T7+T9,0)</f>
        <v>163</v>
      </c>
      <c r="U10" s="1">
        <f t="shared" ref="U10" si="20">ROUND(U5+U7+U9,0)</f>
        <v>165</v>
      </c>
      <c r="V10" s="1">
        <f t="shared" ref="V10" si="21">ROUND(V5+V7+V9,0)</f>
        <v>166</v>
      </c>
      <c r="W10" s="1">
        <f t="shared" ref="W10" si="22">ROUND(W5+W7+W9,0)</f>
        <v>168</v>
      </c>
      <c r="X10" s="1">
        <f t="shared" ref="X10" si="23">ROUND(X5+X7+X9,0)</f>
        <v>169</v>
      </c>
      <c r="Y10" s="1">
        <f t="shared" ref="Y10" si="24">ROUND(Y5+Y7+Y9,0)</f>
        <v>171</v>
      </c>
      <c r="Z10" s="1">
        <f t="shared" ref="Z10" si="25">ROUND(Z5+Z7+Z9,0)</f>
        <v>173</v>
      </c>
      <c r="AA10" s="1">
        <f t="shared" ref="AA10" si="26">ROUND(AA5+AA7+AA9,0)</f>
        <v>175</v>
      </c>
      <c r="AB10" s="1">
        <f t="shared" ref="AB10" si="27">ROUND(AB5+AB7+AB9,0)</f>
        <v>177</v>
      </c>
      <c r="AC10" s="1">
        <f t="shared" ref="AC10" si="28">ROUND(AC5+AC7+AC9,0)</f>
        <v>180</v>
      </c>
      <c r="AD10" s="1">
        <f t="shared" ref="AD10" si="29">ROUND(AD5+AD7+AD9,0)</f>
        <v>183</v>
      </c>
      <c r="AE10" s="1">
        <f t="shared" ref="AE10" si="30">ROUND(AE5+AE7+AE9,0)</f>
        <v>186</v>
      </c>
      <c r="AF10" s="1">
        <f t="shared" ref="AF10" si="31">ROUND(AF5+AF7+AF9,0)</f>
        <v>189</v>
      </c>
      <c r="AG10" s="1">
        <f t="shared" ref="AG10" si="32">ROUND(AG5+AG7+AG9,0)</f>
        <v>193</v>
      </c>
      <c r="AH10" s="1">
        <f t="shared" ref="AH10" si="33">ROUND(AH5+AH7+AH9,0)</f>
        <v>197</v>
      </c>
      <c r="AI10" s="1">
        <f t="shared" ref="AI10" si="34">ROUND(AI5+AI7+AI9,0)</f>
        <v>202</v>
      </c>
      <c r="AJ10" s="1">
        <f t="shared" ref="AJ10" si="35">ROUND(AJ5+AJ7+AJ9,0)</f>
        <v>207</v>
      </c>
      <c r="AK10" s="1">
        <f t="shared" ref="AK10" si="36">ROUND(AK5+AK7+AK9,0)</f>
        <v>212</v>
      </c>
      <c r="AL10" s="1">
        <f t="shared" ref="AL10" si="37">ROUND(AL5+AL7+AL9,0)</f>
        <v>218</v>
      </c>
      <c r="AM10" s="1">
        <f t="shared" ref="AM10" si="38">ROUND(AM5+AM7+AM9,0)</f>
        <v>225</v>
      </c>
      <c r="AN10" s="1">
        <f t="shared" ref="AN10" si="39">ROUND(AN5+AN7+AN9,0)</f>
        <v>232</v>
      </c>
      <c r="AO10" s="1">
        <f t="shared" ref="AO10" si="40">ROUND(AO5+AO7+AO9,0)</f>
        <v>240</v>
      </c>
      <c r="AP10" s="1">
        <f t="shared" ref="AP10" si="41">ROUND(AP5+AP7+AP9,0)</f>
        <v>249</v>
      </c>
      <c r="AQ10" s="1">
        <f t="shared" ref="AQ10" si="42">ROUND(AQ5+AQ7+AQ9,0)</f>
        <v>259</v>
      </c>
      <c r="AR10" s="1">
        <f t="shared" ref="AR10" si="43">ROUND(AR5+AR7+AR9,0)</f>
        <v>269</v>
      </c>
      <c r="AS10" s="1">
        <f t="shared" ref="AS10" si="44">ROUND(AS5+AS7+AS9,0)</f>
        <v>281</v>
      </c>
      <c r="AT10" s="1">
        <f t="shared" ref="AT10" si="45">ROUND(AT5+AT7+AT9,0)</f>
        <v>294</v>
      </c>
      <c r="AU10" s="1">
        <f t="shared" ref="AU10" si="46">ROUND(AU5+AU7+AU9,0)</f>
        <v>308</v>
      </c>
      <c r="AV10" s="1">
        <f t="shared" ref="AV10" si="47">ROUND(AV5+AV7+AV9,0)</f>
        <v>324</v>
      </c>
      <c r="AW10" s="1">
        <f t="shared" ref="AW10" si="48">ROUND(AW5+AW7+AW9,0)</f>
        <v>341</v>
      </c>
      <c r="AX10" s="1">
        <f t="shared" ref="AX10" si="49">ROUND(AX5+AX7+AX9,0)</f>
        <v>360</v>
      </c>
      <c r="AY10" s="1">
        <f t="shared" ref="AY10" si="50">ROUND(AY5+AY7+AY9,0)</f>
        <v>380</v>
      </c>
      <c r="AZ10" s="1">
        <f t="shared" ref="AZ10" si="51">ROUND(AZ5+AZ7+AZ9,0)</f>
        <v>403</v>
      </c>
      <c r="BA10" s="1">
        <f t="shared" ref="BA10" si="52">ROUND(BA5+BA7+BA9,0)</f>
        <v>428</v>
      </c>
      <c r="BB10" s="1">
        <f t="shared" ref="BB10" si="53">ROUND(BB5+BB7+BB9,0)</f>
        <v>456</v>
      </c>
      <c r="BC10" s="1">
        <f t="shared" ref="BC10" si="54">ROUND(BC5+BC7+BC9,0)</f>
        <v>486</v>
      </c>
      <c r="BD10" s="1">
        <f t="shared" ref="BD10" si="55">ROUND(BD5+BD7+BD9,0)</f>
        <v>519</v>
      </c>
      <c r="BE10" s="1">
        <f t="shared" ref="BE10" si="56">ROUND(BE5+BE7+BE9,0)</f>
        <v>556</v>
      </c>
      <c r="BF10" s="1">
        <f t="shared" ref="BF10" si="57">ROUND(BF5+BF7+BF9,0)</f>
        <v>597</v>
      </c>
      <c r="BG10" s="1">
        <f t="shared" ref="BG10" si="58">ROUND(BG5+BG7+BG9,0)</f>
        <v>641</v>
      </c>
      <c r="BH10" s="1">
        <f t="shared" ref="BH10" si="59">ROUND(BH5+BH7+BH9,0)</f>
        <v>690</v>
      </c>
      <c r="BI10" s="1">
        <f t="shared" ref="BI10" si="60">ROUND(BI5+BI7+BI9,0)</f>
        <v>743</v>
      </c>
      <c r="BJ10" s="1">
        <f t="shared" ref="BJ10" si="61">ROUND(BJ5+BJ7+BJ9,0)</f>
        <v>803</v>
      </c>
    </row>
    <row r="11" spans="1:62" s="103" customFormat="1" x14ac:dyDescent="0.2">
      <c r="A11" s="112"/>
      <c r="B11" s="117" t="s">
        <v>26</v>
      </c>
      <c r="C11" s="134">
        <f>C12/C3</f>
        <v>3.0927835051546393E-2</v>
      </c>
      <c r="D11" s="134">
        <f>D12/D3</f>
        <v>5.0505050505050504E-2</v>
      </c>
      <c r="E11" s="134">
        <f t="shared" ref="E11:G11" si="62">E12/E3</f>
        <v>0.03</v>
      </c>
      <c r="F11" s="134">
        <f t="shared" si="62"/>
        <v>4.716981132075472E-2</v>
      </c>
      <c r="G11" s="134">
        <f t="shared" si="62"/>
        <v>3.6036036036036036E-2</v>
      </c>
      <c r="H11" s="102">
        <f>MonthlySubscriptionChurn</f>
        <v>0.04</v>
      </c>
      <c r="I11" s="102">
        <f t="shared" ref="I11:BJ11" si="63">H11</f>
        <v>0.04</v>
      </c>
      <c r="J11" s="102">
        <f t="shared" si="63"/>
        <v>0.04</v>
      </c>
      <c r="K11" s="102">
        <f t="shared" si="63"/>
        <v>0.04</v>
      </c>
      <c r="L11" s="102">
        <f t="shared" si="63"/>
        <v>0.04</v>
      </c>
      <c r="M11" s="102">
        <f t="shared" si="63"/>
        <v>0.04</v>
      </c>
      <c r="N11" s="102">
        <f t="shared" si="63"/>
        <v>0.04</v>
      </c>
      <c r="O11" s="102">
        <f t="shared" si="63"/>
        <v>0.04</v>
      </c>
      <c r="P11" s="102">
        <f t="shared" si="63"/>
        <v>0.04</v>
      </c>
      <c r="Q11" s="102">
        <f t="shared" si="63"/>
        <v>0.04</v>
      </c>
      <c r="R11" s="102">
        <f t="shared" si="63"/>
        <v>0.04</v>
      </c>
      <c r="S11" s="102">
        <f t="shared" si="63"/>
        <v>0.04</v>
      </c>
      <c r="T11" s="102">
        <f t="shared" si="63"/>
        <v>0.04</v>
      </c>
      <c r="U11" s="102">
        <f t="shared" si="63"/>
        <v>0.04</v>
      </c>
      <c r="V11" s="102">
        <f t="shared" si="63"/>
        <v>0.04</v>
      </c>
      <c r="W11" s="102">
        <f t="shared" si="63"/>
        <v>0.04</v>
      </c>
      <c r="X11" s="102">
        <f t="shared" si="63"/>
        <v>0.04</v>
      </c>
      <c r="Y11" s="102">
        <f t="shared" si="63"/>
        <v>0.04</v>
      </c>
      <c r="Z11" s="102">
        <f t="shared" si="63"/>
        <v>0.04</v>
      </c>
      <c r="AA11" s="102">
        <f t="shared" si="63"/>
        <v>0.04</v>
      </c>
      <c r="AB11" s="102">
        <f t="shared" si="63"/>
        <v>0.04</v>
      </c>
      <c r="AC11" s="102">
        <f t="shared" si="63"/>
        <v>0.04</v>
      </c>
      <c r="AD11" s="102">
        <f t="shared" si="63"/>
        <v>0.04</v>
      </c>
      <c r="AE11" s="102">
        <f t="shared" si="63"/>
        <v>0.04</v>
      </c>
      <c r="AF11" s="102">
        <f t="shared" si="63"/>
        <v>0.04</v>
      </c>
      <c r="AG11" s="102">
        <f t="shared" si="63"/>
        <v>0.04</v>
      </c>
      <c r="AH11" s="102">
        <f t="shared" si="63"/>
        <v>0.04</v>
      </c>
      <c r="AI11" s="102">
        <f t="shared" si="63"/>
        <v>0.04</v>
      </c>
      <c r="AJ11" s="102">
        <f t="shared" si="63"/>
        <v>0.04</v>
      </c>
      <c r="AK11" s="102">
        <f t="shared" si="63"/>
        <v>0.04</v>
      </c>
      <c r="AL11" s="102">
        <f t="shared" si="63"/>
        <v>0.04</v>
      </c>
      <c r="AM11" s="102">
        <f t="shared" si="63"/>
        <v>0.04</v>
      </c>
      <c r="AN11" s="102">
        <f t="shared" si="63"/>
        <v>0.04</v>
      </c>
      <c r="AO11" s="102">
        <f t="shared" si="63"/>
        <v>0.04</v>
      </c>
      <c r="AP11" s="102">
        <f t="shared" si="63"/>
        <v>0.04</v>
      </c>
      <c r="AQ11" s="102">
        <f t="shared" si="63"/>
        <v>0.04</v>
      </c>
      <c r="AR11" s="102">
        <f t="shared" si="63"/>
        <v>0.04</v>
      </c>
      <c r="AS11" s="102">
        <f t="shared" si="63"/>
        <v>0.04</v>
      </c>
      <c r="AT11" s="102">
        <f t="shared" si="63"/>
        <v>0.04</v>
      </c>
      <c r="AU11" s="102">
        <f t="shared" si="63"/>
        <v>0.04</v>
      </c>
      <c r="AV11" s="102">
        <f t="shared" si="63"/>
        <v>0.04</v>
      </c>
      <c r="AW11" s="102">
        <f t="shared" si="63"/>
        <v>0.04</v>
      </c>
      <c r="AX11" s="102">
        <f t="shared" si="63"/>
        <v>0.04</v>
      </c>
      <c r="AY11" s="102">
        <f t="shared" si="63"/>
        <v>0.04</v>
      </c>
      <c r="AZ11" s="102">
        <f t="shared" si="63"/>
        <v>0.04</v>
      </c>
      <c r="BA11" s="102">
        <f t="shared" si="63"/>
        <v>0.04</v>
      </c>
      <c r="BB11" s="102">
        <f t="shared" si="63"/>
        <v>0.04</v>
      </c>
      <c r="BC11" s="102">
        <f t="shared" si="63"/>
        <v>0.04</v>
      </c>
      <c r="BD11" s="102">
        <f t="shared" si="63"/>
        <v>0.04</v>
      </c>
      <c r="BE11" s="102">
        <f t="shared" si="63"/>
        <v>0.04</v>
      </c>
      <c r="BF11" s="102">
        <f t="shared" si="63"/>
        <v>0.04</v>
      </c>
      <c r="BG11" s="102">
        <f t="shared" si="63"/>
        <v>0.04</v>
      </c>
      <c r="BH11" s="102">
        <f t="shared" si="63"/>
        <v>0.04</v>
      </c>
      <c r="BI11" s="102">
        <f t="shared" si="63"/>
        <v>0.04</v>
      </c>
      <c r="BJ11" s="102">
        <f t="shared" si="63"/>
        <v>0.04</v>
      </c>
    </row>
    <row r="12" spans="1:62" s="1" customFormat="1" x14ac:dyDescent="0.2">
      <c r="A12" s="111"/>
      <c r="B12" s="111" t="s">
        <v>13</v>
      </c>
      <c r="C12" s="113">
        <v>3</v>
      </c>
      <c r="D12" s="113">
        <v>5</v>
      </c>
      <c r="E12" s="113">
        <v>3</v>
      </c>
      <c r="F12" s="113">
        <v>5</v>
      </c>
      <c r="G12" s="113">
        <v>4</v>
      </c>
      <c r="H12" s="1">
        <f t="shared" ref="H12" si="64">ROUND(H3*H11,0)</f>
        <v>10</v>
      </c>
      <c r="I12" s="1">
        <f t="shared" ref="I12" si="65">ROUND(I3*I11,0)</f>
        <v>16</v>
      </c>
      <c r="J12" s="1">
        <f t="shared" ref="J12" si="66">ROUND(J3*J11,0)</f>
        <v>22</v>
      </c>
      <c r="K12" s="1">
        <f t="shared" ref="K12" si="67">ROUND(K3*K11,0)</f>
        <v>27</v>
      </c>
      <c r="L12" s="1">
        <f t="shared" ref="L12" si="68">ROUND(L3*L11,0)</f>
        <v>32</v>
      </c>
      <c r="M12" s="1">
        <f t="shared" ref="M12" si="69">ROUND(M3*M11,0)</f>
        <v>37</v>
      </c>
      <c r="N12" s="1">
        <f t="shared" ref="N12" si="70">ROUND(N3*N11,0)</f>
        <v>42</v>
      </c>
      <c r="O12" s="1">
        <f t="shared" ref="O12" si="71">ROUND(O3*O11,0)</f>
        <v>47</v>
      </c>
      <c r="P12" s="1">
        <f t="shared" ref="P12" si="72">ROUND(P3*P11,0)</f>
        <v>51</v>
      </c>
      <c r="Q12" s="1">
        <f t="shared" ref="Q12" si="73">ROUND(Q3*Q11,0)</f>
        <v>55</v>
      </c>
      <c r="R12" s="1">
        <f t="shared" ref="R12" si="74">ROUND(R3*R11,0)</f>
        <v>60</v>
      </c>
      <c r="S12" s="1">
        <f t="shared" ref="S12" si="75">ROUND(S3*S11,0)</f>
        <v>64</v>
      </c>
      <c r="T12" s="1">
        <f t="shared" ref="T12" si="76">ROUND(T3*T11,0)</f>
        <v>68</v>
      </c>
      <c r="U12" s="1">
        <f t="shared" ref="U12" si="77">ROUND(U3*U11,0)</f>
        <v>71</v>
      </c>
      <c r="V12" s="1">
        <f t="shared" ref="V12" si="78">ROUND(V3*V11,0)</f>
        <v>75</v>
      </c>
      <c r="W12" s="1">
        <f t="shared" ref="W12" si="79">ROUND(W3*W11,0)</f>
        <v>79</v>
      </c>
      <c r="X12" s="1">
        <f t="shared" ref="X12" si="80">ROUND(X3*X11,0)</f>
        <v>82</v>
      </c>
      <c r="Y12" s="1">
        <f t="shared" ref="Y12" si="81">ROUND(Y3*Y11,0)</f>
        <v>86</v>
      </c>
      <c r="Z12" s="1">
        <f t="shared" ref="Z12" si="82">ROUND(Z3*Z11,0)</f>
        <v>89</v>
      </c>
      <c r="AA12" s="1">
        <f t="shared" ref="AA12" si="83">ROUND(AA3*AA11,0)</f>
        <v>93</v>
      </c>
      <c r="AB12" s="1">
        <f t="shared" ref="AB12" si="84">ROUND(AB3*AB11,0)</f>
        <v>96</v>
      </c>
      <c r="AC12" s="1">
        <f t="shared" ref="AC12" si="85">ROUND(AC3*AC11,0)</f>
        <v>99</v>
      </c>
      <c r="AD12" s="1">
        <f t="shared" ref="AD12" si="86">ROUND(AD3*AD11,0)</f>
        <v>102</v>
      </c>
      <c r="AE12" s="1">
        <f t="shared" ref="AE12" si="87">ROUND(AE3*AE11,0)</f>
        <v>106</v>
      </c>
      <c r="AF12" s="1">
        <f t="shared" ref="AF12" si="88">ROUND(AF3*AF11,0)</f>
        <v>109</v>
      </c>
      <c r="AG12" s="1">
        <f t="shared" ref="AG12" si="89">ROUND(AG3*AG11,0)</f>
        <v>112</v>
      </c>
      <c r="AH12" s="1">
        <f t="shared" ref="AH12" si="90">ROUND(AH3*AH11,0)</f>
        <v>115</v>
      </c>
      <c r="AI12" s="1">
        <f t="shared" ref="AI12" si="91">ROUND(AI3*AI11,0)</f>
        <v>118</v>
      </c>
      <c r="AJ12" s="1">
        <f t="shared" ref="AJ12" si="92">ROUND(AJ3*AJ11,0)</f>
        <v>122</v>
      </c>
      <c r="AK12" s="1">
        <f t="shared" ref="AK12" si="93">ROUND(AK3*AK11,0)</f>
        <v>125</v>
      </c>
      <c r="AL12" s="1">
        <f t="shared" ref="AL12" si="94">ROUND(AL3*AL11,0)</f>
        <v>129</v>
      </c>
      <c r="AM12" s="1">
        <f t="shared" ref="AM12" si="95">ROUND(AM3*AM11,0)</f>
        <v>132</v>
      </c>
      <c r="AN12" s="1">
        <f t="shared" ref="AN12" si="96">ROUND(AN3*AN11,0)</f>
        <v>136</v>
      </c>
      <c r="AO12" s="1">
        <f t="shared" ref="AO12" si="97">ROUND(AO3*AO11,0)</f>
        <v>140</v>
      </c>
      <c r="AP12" s="1">
        <f t="shared" ref="AP12" si="98">ROUND(AP3*AP11,0)</f>
        <v>144</v>
      </c>
      <c r="AQ12" s="1">
        <f t="shared" ref="AQ12" si="99">ROUND(AQ3*AQ11,0)</f>
        <v>148</v>
      </c>
      <c r="AR12" s="1">
        <f t="shared" ref="AR12" si="100">ROUND(AR3*AR11,0)</f>
        <v>152</v>
      </c>
      <c r="AS12" s="1">
        <f t="shared" ref="AS12" si="101">ROUND(AS3*AS11,0)</f>
        <v>157</v>
      </c>
      <c r="AT12" s="1">
        <f t="shared" ref="AT12" si="102">ROUND(AT3*AT11,0)</f>
        <v>162</v>
      </c>
      <c r="AU12" s="1">
        <f t="shared" ref="AU12" si="103">ROUND(AU3*AU11,0)</f>
        <v>167</v>
      </c>
      <c r="AV12" s="1">
        <f t="shared" ref="AV12" si="104">ROUND(AV3*AV11,0)</f>
        <v>173</v>
      </c>
      <c r="AW12" s="1">
        <f t="shared" ref="AW12" si="105">ROUND(AW3*AW11,0)</f>
        <v>179</v>
      </c>
      <c r="AX12" s="1">
        <f t="shared" ref="AX12" si="106">ROUND(AX3*AX11,0)</f>
        <v>186</v>
      </c>
      <c r="AY12" s="1">
        <f t="shared" ref="AY12" si="107">ROUND(AY3*AY11,0)</f>
        <v>193</v>
      </c>
      <c r="AZ12" s="1">
        <f t="shared" ref="AZ12" si="108">ROUND(AZ3*AZ11,0)</f>
        <v>200</v>
      </c>
      <c r="BA12" s="1">
        <f t="shared" ref="BA12" si="109">ROUND(BA3*BA11,0)</f>
        <v>208</v>
      </c>
      <c r="BB12" s="1">
        <f t="shared" ref="BB12" si="110">ROUND(BB3*BB11,0)</f>
        <v>217</v>
      </c>
      <c r="BC12" s="1">
        <f t="shared" ref="BC12" si="111">ROUND(BC3*BC11,0)</f>
        <v>226</v>
      </c>
      <c r="BD12" s="1">
        <f t="shared" ref="BD12" si="112">ROUND(BD3*BD11,0)</f>
        <v>237</v>
      </c>
      <c r="BE12" s="1">
        <f t="shared" ref="BE12" si="113">ROUND(BE3*BE11,0)</f>
        <v>248</v>
      </c>
      <c r="BF12" s="1">
        <f t="shared" ref="BF12" si="114">ROUND(BF3*BF11,0)</f>
        <v>260</v>
      </c>
      <c r="BG12" s="1">
        <f t="shared" ref="BG12" si="115">ROUND(BG3*BG11,0)</f>
        <v>274</v>
      </c>
      <c r="BH12" s="1">
        <f t="shared" ref="BH12" si="116">ROUND(BH3*BH11,0)</f>
        <v>289</v>
      </c>
      <c r="BI12" s="1">
        <f t="shared" ref="BI12" si="117">ROUND(BI3*BI11,0)</f>
        <v>305</v>
      </c>
      <c r="BJ12" s="1">
        <f t="shared" ref="BJ12" si="118">ROUND(BJ3*BJ11,0)</f>
        <v>322</v>
      </c>
    </row>
    <row r="13" spans="1:62" s="1" customFormat="1" x14ac:dyDescent="0.2">
      <c r="A13" s="111"/>
      <c r="B13" s="111" t="s">
        <v>14</v>
      </c>
      <c r="C13" s="113">
        <f>C3+C10-C12</f>
        <v>99</v>
      </c>
      <c r="D13" s="113">
        <f t="shared" ref="D13" si="119">D3+D10-D12</f>
        <v>100</v>
      </c>
      <c r="E13" s="113">
        <f t="shared" ref="E13" si="120">E3+E10-E12</f>
        <v>106</v>
      </c>
      <c r="F13" s="113">
        <f t="shared" ref="F13" si="121">F3+F10-F12</f>
        <v>111</v>
      </c>
      <c r="G13" s="113">
        <f t="shared" ref="G13" si="122">G3+G10-G12</f>
        <v>259</v>
      </c>
      <c r="H13" s="1">
        <f t="shared" ref="H13" si="123">H3+H10-H12</f>
        <v>403</v>
      </c>
      <c r="I13" s="1">
        <f t="shared" ref="I13" si="124">I3+I10-I12</f>
        <v>542</v>
      </c>
      <c r="J13" s="1">
        <f t="shared" ref="J13" si="125">J3+J10-J12</f>
        <v>675</v>
      </c>
      <c r="K13" s="1">
        <f t="shared" ref="K13" si="126">K3+K10-K12</f>
        <v>804</v>
      </c>
      <c r="L13" s="1">
        <f t="shared" ref="L13" si="127">L3+L10-L12</f>
        <v>929</v>
      </c>
      <c r="M13" s="1">
        <f t="shared" ref="M13" si="128">M3+M10-M12</f>
        <v>1049</v>
      </c>
      <c r="N13" s="1">
        <f t="shared" ref="N13" si="129">N3+N10-N12</f>
        <v>1165</v>
      </c>
      <c r="O13" s="1">
        <f t="shared" ref="O13" si="130">O3+O10-O12</f>
        <v>1277</v>
      </c>
      <c r="P13" s="1">
        <f t="shared" ref="P13" si="131">P3+P10-P12</f>
        <v>1385</v>
      </c>
      <c r="Q13" s="1">
        <f t="shared" ref="Q13" si="132">Q3+Q10-Q12</f>
        <v>1490</v>
      </c>
      <c r="R13" s="1">
        <f t="shared" ref="R13" si="133">R3+R10-R12</f>
        <v>1591</v>
      </c>
      <c r="S13" s="1">
        <f t="shared" ref="S13" si="134">S3+S10-S12</f>
        <v>1689</v>
      </c>
      <c r="T13" s="1">
        <f t="shared" ref="T13" si="135">T3+T10-T12</f>
        <v>1784</v>
      </c>
      <c r="U13" s="1">
        <f t="shared" ref="U13" si="136">U3+U10-U12</f>
        <v>1878</v>
      </c>
      <c r="V13" s="1">
        <f t="shared" ref="V13" si="137">V3+V10-V12</f>
        <v>1969</v>
      </c>
      <c r="W13" s="1">
        <f t="shared" ref="W13" si="138">W3+W10-W12</f>
        <v>2058</v>
      </c>
      <c r="X13" s="1">
        <f t="shared" ref="X13" si="139">X3+X10-X12</f>
        <v>2145</v>
      </c>
      <c r="Y13" s="1">
        <f t="shared" ref="Y13" si="140">Y3+Y10-Y12</f>
        <v>2230</v>
      </c>
      <c r="Z13" s="1">
        <f t="shared" ref="Z13" si="141">Z3+Z10-Z12</f>
        <v>2314</v>
      </c>
      <c r="AA13" s="1">
        <f t="shared" ref="AA13" si="142">AA3+AA10-AA12</f>
        <v>2396</v>
      </c>
      <c r="AB13" s="1">
        <f t="shared" ref="AB13" si="143">AB3+AB10-AB12</f>
        <v>2477</v>
      </c>
      <c r="AC13" s="1">
        <f t="shared" ref="AC13" si="144">AC3+AC10-AC12</f>
        <v>2558</v>
      </c>
      <c r="AD13" s="1">
        <f t="shared" ref="AD13" si="145">AD3+AD10-AD12</f>
        <v>2639</v>
      </c>
      <c r="AE13" s="1">
        <f t="shared" ref="AE13" si="146">AE3+AE10-AE12</f>
        <v>2719</v>
      </c>
      <c r="AF13" s="1">
        <f t="shared" ref="AF13" si="147">AF3+AF10-AF12</f>
        <v>2799</v>
      </c>
      <c r="AG13" s="1">
        <f t="shared" ref="AG13" si="148">AG3+AG10-AG12</f>
        <v>2880</v>
      </c>
      <c r="AH13" s="1">
        <f t="shared" ref="AH13" si="149">AH3+AH10-AH12</f>
        <v>2962</v>
      </c>
      <c r="AI13" s="1">
        <f t="shared" ref="AI13" si="150">AI3+AI10-AI12</f>
        <v>3046</v>
      </c>
      <c r="AJ13" s="1">
        <f t="shared" ref="AJ13" si="151">AJ3+AJ10-AJ12</f>
        <v>3131</v>
      </c>
      <c r="AK13" s="1">
        <f t="shared" ref="AK13" si="152">AK3+AK10-AK12</f>
        <v>3218</v>
      </c>
      <c r="AL13" s="1">
        <f t="shared" ref="AL13" si="153">AL3+AL10-AL12</f>
        <v>3307</v>
      </c>
      <c r="AM13" s="1">
        <f t="shared" ref="AM13" si="154">AM3+AM10-AM12</f>
        <v>3400</v>
      </c>
      <c r="AN13" s="1">
        <f t="shared" ref="AN13" si="155">AN3+AN10-AN12</f>
        <v>3496</v>
      </c>
      <c r="AO13" s="1">
        <f t="shared" ref="AO13" si="156">AO3+AO10-AO12</f>
        <v>3596</v>
      </c>
      <c r="AP13" s="1">
        <f t="shared" ref="AP13" si="157">AP3+AP10-AP12</f>
        <v>3701</v>
      </c>
      <c r="AQ13" s="1">
        <f t="shared" ref="AQ13" si="158">AQ3+AQ10-AQ12</f>
        <v>3812</v>
      </c>
      <c r="AR13" s="1">
        <f t="shared" ref="AR13" si="159">AR3+AR10-AR12</f>
        <v>3929</v>
      </c>
      <c r="AS13" s="1">
        <f t="shared" ref="AS13" si="160">AS3+AS10-AS12</f>
        <v>4053</v>
      </c>
      <c r="AT13" s="1">
        <f t="shared" ref="AT13" si="161">AT3+AT10-AT12</f>
        <v>4185</v>
      </c>
      <c r="AU13" s="1">
        <f t="shared" ref="AU13" si="162">AU3+AU10-AU12</f>
        <v>4326</v>
      </c>
      <c r="AV13" s="1">
        <f t="shared" ref="AV13" si="163">AV3+AV10-AV12</f>
        <v>4477</v>
      </c>
      <c r="AW13" s="1">
        <f t="shared" ref="AW13" si="164">AW3+AW10-AW12</f>
        <v>4639</v>
      </c>
      <c r="AX13" s="1">
        <f t="shared" ref="AX13" si="165">AX3+AX10-AX12</f>
        <v>4813</v>
      </c>
      <c r="AY13" s="1">
        <f t="shared" ref="AY13" si="166">AY3+AY10-AY12</f>
        <v>5000</v>
      </c>
      <c r="AZ13" s="1">
        <f t="shared" ref="AZ13" si="167">AZ3+AZ10-AZ12</f>
        <v>5203</v>
      </c>
      <c r="BA13" s="1">
        <f t="shared" ref="BA13" si="168">BA3+BA10-BA12</f>
        <v>5423</v>
      </c>
      <c r="BB13" s="1">
        <f t="shared" ref="BB13" si="169">BB3+BB10-BB12</f>
        <v>5662</v>
      </c>
      <c r="BC13" s="1">
        <f t="shared" ref="BC13" si="170">BC3+BC10-BC12</f>
        <v>5922</v>
      </c>
      <c r="BD13" s="1">
        <f t="shared" ref="BD13" si="171">BD3+BD10-BD12</f>
        <v>6204</v>
      </c>
      <c r="BE13" s="1">
        <f t="shared" ref="BE13" si="172">BE3+BE10-BE12</f>
        <v>6512</v>
      </c>
      <c r="BF13" s="1">
        <f t="shared" ref="BF13" si="173">BF3+BF10-BF12</f>
        <v>6849</v>
      </c>
      <c r="BG13" s="1">
        <f t="shared" ref="BG13" si="174">BG3+BG10-BG12</f>
        <v>7216</v>
      </c>
      <c r="BH13" s="1">
        <f t="shared" ref="BH13" si="175">BH3+BH10-BH12</f>
        <v>7617</v>
      </c>
      <c r="BI13" s="1">
        <f t="shared" ref="BI13" si="176">BI3+BI10-BI12</f>
        <v>8055</v>
      </c>
      <c r="BJ13" s="1">
        <f t="shared" ref="BJ13" si="177">BJ3+BJ10-BJ12</f>
        <v>8536</v>
      </c>
    </row>
    <row r="14" spans="1:62" x14ac:dyDescent="0.2">
      <c r="C14" s="115"/>
      <c r="D14" s="115"/>
      <c r="E14" s="115"/>
      <c r="F14" s="115"/>
      <c r="G14" s="115"/>
    </row>
    <row r="15" spans="1:62" s="103" customFormat="1" x14ac:dyDescent="0.2">
      <c r="A15" s="114"/>
      <c r="B15" s="114" t="s">
        <v>16</v>
      </c>
      <c r="C15" s="135">
        <v>29.99</v>
      </c>
      <c r="D15" s="135">
        <v>29.99</v>
      </c>
      <c r="E15" s="135">
        <v>29.99</v>
      </c>
      <c r="F15" s="135">
        <v>29.99</v>
      </c>
      <c r="G15" s="135">
        <v>29.99</v>
      </c>
      <c r="H15" s="125">
        <f>MonthlySubscriptionPrice</f>
        <v>29.99</v>
      </c>
      <c r="I15" s="125">
        <f t="shared" ref="I15:BJ15" si="178">H15</f>
        <v>29.99</v>
      </c>
      <c r="J15" s="125">
        <f t="shared" si="178"/>
        <v>29.99</v>
      </c>
      <c r="K15" s="125">
        <f t="shared" si="178"/>
        <v>29.99</v>
      </c>
      <c r="L15" s="125">
        <f t="shared" si="178"/>
        <v>29.99</v>
      </c>
      <c r="M15" s="125">
        <f t="shared" si="178"/>
        <v>29.99</v>
      </c>
      <c r="N15" s="125">
        <f t="shared" si="178"/>
        <v>29.99</v>
      </c>
      <c r="O15" s="125">
        <f t="shared" si="178"/>
        <v>29.99</v>
      </c>
      <c r="P15" s="125">
        <f t="shared" si="178"/>
        <v>29.99</v>
      </c>
      <c r="Q15" s="125">
        <f t="shared" si="178"/>
        <v>29.99</v>
      </c>
      <c r="R15" s="125">
        <f t="shared" si="178"/>
        <v>29.99</v>
      </c>
      <c r="S15" s="125">
        <f t="shared" si="178"/>
        <v>29.99</v>
      </c>
      <c r="T15" s="125">
        <f t="shared" si="178"/>
        <v>29.99</v>
      </c>
      <c r="U15" s="125">
        <f t="shared" si="178"/>
        <v>29.99</v>
      </c>
      <c r="V15" s="125">
        <f t="shared" si="178"/>
        <v>29.99</v>
      </c>
      <c r="W15" s="125">
        <f t="shared" si="178"/>
        <v>29.99</v>
      </c>
      <c r="X15" s="125">
        <f t="shared" si="178"/>
        <v>29.99</v>
      </c>
      <c r="Y15" s="125">
        <f t="shared" si="178"/>
        <v>29.99</v>
      </c>
      <c r="Z15" s="125">
        <f t="shared" si="178"/>
        <v>29.99</v>
      </c>
      <c r="AA15" s="125">
        <f t="shared" si="178"/>
        <v>29.99</v>
      </c>
      <c r="AB15" s="125">
        <f t="shared" si="178"/>
        <v>29.99</v>
      </c>
      <c r="AC15" s="125">
        <f t="shared" si="178"/>
        <v>29.99</v>
      </c>
      <c r="AD15" s="125">
        <f t="shared" si="178"/>
        <v>29.99</v>
      </c>
      <c r="AE15" s="125">
        <f t="shared" si="178"/>
        <v>29.99</v>
      </c>
      <c r="AF15" s="125">
        <f t="shared" si="178"/>
        <v>29.99</v>
      </c>
      <c r="AG15" s="125">
        <f t="shared" si="178"/>
        <v>29.99</v>
      </c>
      <c r="AH15" s="125">
        <f t="shared" si="178"/>
        <v>29.99</v>
      </c>
      <c r="AI15" s="125">
        <f t="shared" si="178"/>
        <v>29.99</v>
      </c>
      <c r="AJ15" s="125">
        <f t="shared" si="178"/>
        <v>29.99</v>
      </c>
      <c r="AK15" s="125">
        <f t="shared" si="178"/>
        <v>29.99</v>
      </c>
      <c r="AL15" s="125">
        <f t="shared" si="178"/>
        <v>29.99</v>
      </c>
      <c r="AM15" s="125">
        <f t="shared" si="178"/>
        <v>29.99</v>
      </c>
      <c r="AN15" s="125">
        <f t="shared" si="178"/>
        <v>29.99</v>
      </c>
      <c r="AO15" s="125">
        <f t="shared" si="178"/>
        <v>29.99</v>
      </c>
      <c r="AP15" s="125">
        <f t="shared" si="178"/>
        <v>29.99</v>
      </c>
      <c r="AQ15" s="125">
        <f t="shared" si="178"/>
        <v>29.99</v>
      </c>
      <c r="AR15" s="125">
        <f t="shared" si="178"/>
        <v>29.99</v>
      </c>
      <c r="AS15" s="125">
        <f t="shared" si="178"/>
        <v>29.99</v>
      </c>
      <c r="AT15" s="125">
        <f t="shared" si="178"/>
        <v>29.99</v>
      </c>
      <c r="AU15" s="125">
        <f t="shared" si="178"/>
        <v>29.99</v>
      </c>
      <c r="AV15" s="125">
        <f t="shared" si="178"/>
        <v>29.99</v>
      </c>
      <c r="AW15" s="125">
        <f t="shared" si="178"/>
        <v>29.99</v>
      </c>
      <c r="AX15" s="125">
        <f t="shared" si="178"/>
        <v>29.99</v>
      </c>
      <c r="AY15" s="125">
        <f t="shared" si="178"/>
        <v>29.99</v>
      </c>
      <c r="AZ15" s="125">
        <f t="shared" si="178"/>
        <v>29.99</v>
      </c>
      <c r="BA15" s="125">
        <f t="shared" si="178"/>
        <v>29.99</v>
      </c>
      <c r="BB15" s="125">
        <f t="shared" si="178"/>
        <v>29.99</v>
      </c>
      <c r="BC15" s="125">
        <f t="shared" si="178"/>
        <v>29.99</v>
      </c>
      <c r="BD15" s="125">
        <f t="shared" si="178"/>
        <v>29.99</v>
      </c>
      <c r="BE15" s="125">
        <f t="shared" si="178"/>
        <v>29.99</v>
      </c>
      <c r="BF15" s="125">
        <f t="shared" si="178"/>
        <v>29.99</v>
      </c>
      <c r="BG15" s="125">
        <f t="shared" si="178"/>
        <v>29.99</v>
      </c>
      <c r="BH15" s="125">
        <f t="shared" si="178"/>
        <v>29.99</v>
      </c>
      <c r="BI15" s="125">
        <f t="shared" si="178"/>
        <v>29.99</v>
      </c>
      <c r="BJ15" s="125">
        <f t="shared" si="178"/>
        <v>29.99</v>
      </c>
    </row>
    <row r="16" spans="1:62" x14ac:dyDescent="0.2">
      <c r="C16" s="133"/>
      <c r="D16" s="133"/>
      <c r="E16" s="133"/>
      <c r="F16" s="133"/>
      <c r="G16" s="133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70" s="12" customFormat="1" x14ac:dyDescent="0.2">
      <c r="B17" s="12" t="s">
        <v>27</v>
      </c>
      <c r="C17" s="68">
        <f>C15*C13</f>
        <v>2969.0099999999998</v>
      </c>
      <c r="D17" s="68">
        <f t="shared" ref="D17:BJ17" si="179">D15*D13</f>
        <v>2999</v>
      </c>
      <c r="E17" s="68">
        <f t="shared" si="179"/>
        <v>3178.94</v>
      </c>
      <c r="F17" s="68">
        <f t="shared" si="179"/>
        <v>3328.89</v>
      </c>
      <c r="G17" s="68">
        <f t="shared" si="179"/>
        <v>7767.41</v>
      </c>
      <c r="H17" s="13">
        <f t="shared" si="179"/>
        <v>12085.97</v>
      </c>
      <c r="I17" s="13">
        <f t="shared" si="179"/>
        <v>16254.58</v>
      </c>
      <c r="J17" s="13">
        <f t="shared" si="179"/>
        <v>20243.25</v>
      </c>
      <c r="K17" s="13">
        <f t="shared" si="179"/>
        <v>24111.96</v>
      </c>
      <c r="L17" s="13">
        <f t="shared" si="179"/>
        <v>27860.71</v>
      </c>
      <c r="M17" s="13">
        <f t="shared" si="179"/>
        <v>31459.51</v>
      </c>
      <c r="N17" s="13">
        <f t="shared" si="179"/>
        <v>34938.35</v>
      </c>
      <c r="O17" s="13">
        <f t="shared" si="179"/>
        <v>38297.229999999996</v>
      </c>
      <c r="P17" s="13">
        <f t="shared" si="179"/>
        <v>41536.15</v>
      </c>
      <c r="Q17" s="13">
        <f t="shared" si="179"/>
        <v>44685.1</v>
      </c>
      <c r="R17" s="13">
        <f t="shared" si="179"/>
        <v>47714.09</v>
      </c>
      <c r="S17" s="13">
        <f t="shared" si="179"/>
        <v>50653.11</v>
      </c>
      <c r="T17" s="13">
        <f t="shared" si="179"/>
        <v>53502.159999999996</v>
      </c>
      <c r="U17" s="13">
        <f t="shared" si="179"/>
        <v>56321.219999999994</v>
      </c>
      <c r="V17" s="13">
        <f t="shared" si="179"/>
        <v>59050.31</v>
      </c>
      <c r="W17" s="13">
        <f t="shared" si="179"/>
        <v>61719.42</v>
      </c>
      <c r="X17" s="13">
        <f t="shared" si="179"/>
        <v>64328.549999999996</v>
      </c>
      <c r="Y17" s="13">
        <f t="shared" si="179"/>
        <v>66877.7</v>
      </c>
      <c r="Z17" s="13">
        <f t="shared" si="179"/>
        <v>69396.86</v>
      </c>
      <c r="AA17" s="13">
        <f t="shared" si="179"/>
        <v>71856.039999999994</v>
      </c>
      <c r="AB17" s="13">
        <f t="shared" si="179"/>
        <v>74285.23</v>
      </c>
      <c r="AC17" s="13">
        <f t="shared" si="179"/>
        <v>76714.42</v>
      </c>
      <c r="AD17" s="13">
        <f t="shared" si="179"/>
        <v>79143.61</v>
      </c>
      <c r="AE17" s="13">
        <f t="shared" si="179"/>
        <v>81542.81</v>
      </c>
      <c r="AF17" s="13">
        <f t="shared" si="179"/>
        <v>83942.01</v>
      </c>
      <c r="AG17" s="13">
        <f t="shared" si="179"/>
        <v>86371.199999999997</v>
      </c>
      <c r="AH17" s="13">
        <f t="shared" si="179"/>
        <v>88830.37999999999</v>
      </c>
      <c r="AI17" s="13">
        <f t="shared" si="179"/>
        <v>91349.54</v>
      </c>
      <c r="AJ17" s="13">
        <f t="shared" si="179"/>
        <v>93898.69</v>
      </c>
      <c r="AK17" s="13">
        <f t="shared" si="179"/>
        <v>96507.819999999992</v>
      </c>
      <c r="AL17" s="13">
        <f t="shared" si="179"/>
        <v>99176.93</v>
      </c>
      <c r="AM17" s="13">
        <f t="shared" si="179"/>
        <v>101966</v>
      </c>
      <c r="AN17" s="13">
        <f t="shared" si="179"/>
        <v>104845.04</v>
      </c>
      <c r="AO17" s="13">
        <f t="shared" si="179"/>
        <v>107844.04</v>
      </c>
      <c r="AP17" s="13">
        <f t="shared" si="179"/>
        <v>110992.98999999999</v>
      </c>
      <c r="AQ17" s="13">
        <f t="shared" si="179"/>
        <v>114321.87999999999</v>
      </c>
      <c r="AR17" s="13">
        <f t="shared" si="179"/>
        <v>117830.70999999999</v>
      </c>
      <c r="AS17" s="13">
        <f t="shared" si="179"/>
        <v>121549.46999999999</v>
      </c>
      <c r="AT17" s="13">
        <f t="shared" si="179"/>
        <v>125508.15</v>
      </c>
      <c r="AU17" s="13">
        <f t="shared" si="179"/>
        <v>129736.73999999999</v>
      </c>
      <c r="AV17" s="13">
        <f t="shared" si="179"/>
        <v>134265.22999999998</v>
      </c>
      <c r="AW17" s="13">
        <f t="shared" si="179"/>
        <v>139123.60999999999</v>
      </c>
      <c r="AX17" s="13">
        <f t="shared" si="179"/>
        <v>144341.87</v>
      </c>
      <c r="AY17" s="13">
        <f t="shared" si="179"/>
        <v>149950</v>
      </c>
      <c r="AZ17" s="13">
        <f t="shared" si="179"/>
        <v>156037.97</v>
      </c>
      <c r="BA17" s="13">
        <f t="shared" si="179"/>
        <v>162635.76999999999</v>
      </c>
      <c r="BB17" s="13">
        <f t="shared" si="179"/>
        <v>169803.38</v>
      </c>
      <c r="BC17" s="13">
        <f t="shared" si="179"/>
        <v>177600.78</v>
      </c>
      <c r="BD17" s="13">
        <f t="shared" si="179"/>
        <v>186057.96</v>
      </c>
      <c r="BE17" s="13">
        <f t="shared" si="179"/>
        <v>195294.87999999998</v>
      </c>
      <c r="BF17" s="13">
        <f t="shared" si="179"/>
        <v>205401.50999999998</v>
      </c>
      <c r="BG17" s="13">
        <f t="shared" si="179"/>
        <v>216407.84</v>
      </c>
      <c r="BH17" s="13">
        <f t="shared" si="179"/>
        <v>228433.83</v>
      </c>
      <c r="BI17" s="13">
        <f t="shared" si="179"/>
        <v>241569.44999999998</v>
      </c>
      <c r="BJ17" s="13">
        <f t="shared" si="179"/>
        <v>255994.63999999998</v>
      </c>
    </row>
    <row r="18" spans="1:70" x14ac:dyDescent="0.2">
      <c r="C18" s="133"/>
      <c r="D18" s="133"/>
      <c r="E18" s="133"/>
      <c r="F18" s="133"/>
      <c r="G18" s="133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70" s="103" customFormat="1" x14ac:dyDescent="0.2">
      <c r="A19" s="114"/>
      <c r="B19" s="114" t="s">
        <v>17</v>
      </c>
      <c r="C19" s="136">
        <f>(C21/C20)/C13</f>
        <v>9.2465054586266721E-2</v>
      </c>
      <c r="D19" s="136">
        <f t="shared" ref="D19:G19" si="180">(D21/D20)/D13</f>
        <v>0.10510510510510511</v>
      </c>
      <c r="E19" s="136">
        <f t="shared" si="180"/>
        <v>0.11303162246558472</v>
      </c>
      <c r="F19" s="136">
        <f t="shared" si="180"/>
        <v>0.1182407962068979</v>
      </c>
      <c r="G19" s="136">
        <f t="shared" si="180"/>
        <v>0.12058132893317255</v>
      </c>
      <c r="H19" s="126">
        <v>0.125</v>
      </c>
      <c r="I19" s="126">
        <f t="shared" ref="I19:V19" si="181">H19+0.005</f>
        <v>0.13</v>
      </c>
      <c r="J19" s="126">
        <f t="shared" si="181"/>
        <v>0.13500000000000001</v>
      </c>
      <c r="K19" s="126">
        <f t="shared" si="181"/>
        <v>0.14000000000000001</v>
      </c>
      <c r="L19" s="126">
        <f t="shared" si="181"/>
        <v>0.14500000000000002</v>
      </c>
      <c r="M19" s="126">
        <f t="shared" si="181"/>
        <v>0.15000000000000002</v>
      </c>
      <c r="N19" s="126">
        <f t="shared" si="181"/>
        <v>0.15500000000000003</v>
      </c>
      <c r="O19" s="126">
        <f t="shared" si="181"/>
        <v>0.16000000000000003</v>
      </c>
      <c r="P19" s="126">
        <f t="shared" si="181"/>
        <v>0.16500000000000004</v>
      </c>
      <c r="Q19" s="126">
        <f t="shared" si="181"/>
        <v>0.17000000000000004</v>
      </c>
      <c r="R19" s="126">
        <f t="shared" si="181"/>
        <v>0.17500000000000004</v>
      </c>
      <c r="S19" s="126">
        <f t="shared" si="181"/>
        <v>0.18000000000000005</v>
      </c>
      <c r="T19" s="126">
        <f t="shared" si="181"/>
        <v>0.18500000000000005</v>
      </c>
      <c r="U19" s="126">
        <f t="shared" si="181"/>
        <v>0.19000000000000006</v>
      </c>
      <c r="V19" s="126">
        <f t="shared" si="181"/>
        <v>0.19500000000000006</v>
      </c>
      <c r="W19" s="126">
        <v>0.2</v>
      </c>
      <c r="X19" s="126">
        <f>W19</f>
        <v>0.2</v>
      </c>
      <c r="Y19" s="126">
        <f t="shared" ref="Y19:BJ19" si="182">X19</f>
        <v>0.2</v>
      </c>
      <c r="Z19" s="126">
        <f t="shared" si="182"/>
        <v>0.2</v>
      </c>
      <c r="AA19" s="126">
        <f t="shared" si="182"/>
        <v>0.2</v>
      </c>
      <c r="AB19" s="126">
        <f t="shared" si="182"/>
        <v>0.2</v>
      </c>
      <c r="AC19" s="126">
        <f t="shared" si="182"/>
        <v>0.2</v>
      </c>
      <c r="AD19" s="126">
        <f t="shared" si="182"/>
        <v>0.2</v>
      </c>
      <c r="AE19" s="126">
        <f t="shared" si="182"/>
        <v>0.2</v>
      </c>
      <c r="AF19" s="126">
        <f t="shared" si="182"/>
        <v>0.2</v>
      </c>
      <c r="AG19" s="126">
        <f t="shared" si="182"/>
        <v>0.2</v>
      </c>
      <c r="AH19" s="126">
        <f t="shared" si="182"/>
        <v>0.2</v>
      </c>
      <c r="AI19" s="126">
        <f t="shared" si="182"/>
        <v>0.2</v>
      </c>
      <c r="AJ19" s="126">
        <f t="shared" si="182"/>
        <v>0.2</v>
      </c>
      <c r="AK19" s="126">
        <f t="shared" si="182"/>
        <v>0.2</v>
      </c>
      <c r="AL19" s="126">
        <f t="shared" si="182"/>
        <v>0.2</v>
      </c>
      <c r="AM19" s="126">
        <f t="shared" si="182"/>
        <v>0.2</v>
      </c>
      <c r="AN19" s="126">
        <f t="shared" si="182"/>
        <v>0.2</v>
      </c>
      <c r="AO19" s="126">
        <f t="shared" si="182"/>
        <v>0.2</v>
      </c>
      <c r="AP19" s="126">
        <f t="shared" si="182"/>
        <v>0.2</v>
      </c>
      <c r="AQ19" s="126">
        <f t="shared" si="182"/>
        <v>0.2</v>
      </c>
      <c r="AR19" s="126">
        <f t="shared" si="182"/>
        <v>0.2</v>
      </c>
      <c r="AS19" s="126">
        <f t="shared" si="182"/>
        <v>0.2</v>
      </c>
      <c r="AT19" s="126">
        <f t="shared" si="182"/>
        <v>0.2</v>
      </c>
      <c r="AU19" s="126">
        <f t="shared" si="182"/>
        <v>0.2</v>
      </c>
      <c r="AV19" s="126">
        <f t="shared" si="182"/>
        <v>0.2</v>
      </c>
      <c r="AW19" s="126">
        <f t="shared" si="182"/>
        <v>0.2</v>
      </c>
      <c r="AX19" s="126">
        <f t="shared" si="182"/>
        <v>0.2</v>
      </c>
      <c r="AY19" s="126">
        <f t="shared" si="182"/>
        <v>0.2</v>
      </c>
      <c r="AZ19" s="126">
        <f t="shared" si="182"/>
        <v>0.2</v>
      </c>
      <c r="BA19" s="126">
        <f t="shared" si="182"/>
        <v>0.2</v>
      </c>
      <c r="BB19" s="126">
        <f t="shared" si="182"/>
        <v>0.2</v>
      </c>
      <c r="BC19" s="126">
        <f t="shared" si="182"/>
        <v>0.2</v>
      </c>
      <c r="BD19" s="126">
        <f t="shared" si="182"/>
        <v>0.2</v>
      </c>
      <c r="BE19" s="126">
        <f t="shared" si="182"/>
        <v>0.2</v>
      </c>
      <c r="BF19" s="126">
        <f t="shared" si="182"/>
        <v>0.2</v>
      </c>
      <c r="BG19" s="126">
        <f t="shared" si="182"/>
        <v>0.2</v>
      </c>
      <c r="BH19" s="126">
        <f t="shared" si="182"/>
        <v>0.2</v>
      </c>
      <c r="BI19" s="126">
        <f t="shared" si="182"/>
        <v>0.2</v>
      </c>
      <c r="BJ19" s="126">
        <f t="shared" si="182"/>
        <v>0.2</v>
      </c>
    </row>
    <row r="20" spans="1:70" s="103" customFormat="1" x14ac:dyDescent="0.2">
      <c r="A20" s="114"/>
      <c r="B20" s="114" t="s">
        <v>18</v>
      </c>
      <c r="C20" s="137">
        <v>15.84</v>
      </c>
      <c r="D20" s="137">
        <v>23.31</v>
      </c>
      <c r="E20" s="137">
        <v>21.45</v>
      </c>
      <c r="F20" s="137">
        <v>23.01</v>
      </c>
      <c r="G20" s="137">
        <v>22.51</v>
      </c>
      <c r="H20" s="127">
        <f t="shared" ref="H20:BJ20" si="183">0.75*H15</f>
        <v>22.4925</v>
      </c>
      <c r="I20" s="127">
        <f t="shared" si="183"/>
        <v>22.4925</v>
      </c>
      <c r="J20" s="127">
        <f t="shared" si="183"/>
        <v>22.4925</v>
      </c>
      <c r="K20" s="127">
        <f t="shared" si="183"/>
        <v>22.4925</v>
      </c>
      <c r="L20" s="127">
        <f t="shared" si="183"/>
        <v>22.4925</v>
      </c>
      <c r="M20" s="127">
        <f t="shared" si="183"/>
        <v>22.4925</v>
      </c>
      <c r="N20" s="127">
        <f t="shared" si="183"/>
        <v>22.4925</v>
      </c>
      <c r="O20" s="127">
        <f t="shared" si="183"/>
        <v>22.4925</v>
      </c>
      <c r="P20" s="127">
        <f t="shared" si="183"/>
        <v>22.4925</v>
      </c>
      <c r="Q20" s="127">
        <f t="shared" si="183"/>
        <v>22.4925</v>
      </c>
      <c r="R20" s="127">
        <f t="shared" si="183"/>
        <v>22.4925</v>
      </c>
      <c r="S20" s="127">
        <f t="shared" si="183"/>
        <v>22.4925</v>
      </c>
      <c r="T20" s="127">
        <f t="shared" si="183"/>
        <v>22.4925</v>
      </c>
      <c r="U20" s="127">
        <f t="shared" si="183"/>
        <v>22.4925</v>
      </c>
      <c r="V20" s="127">
        <f t="shared" si="183"/>
        <v>22.4925</v>
      </c>
      <c r="W20" s="127">
        <f t="shared" si="183"/>
        <v>22.4925</v>
      </c>
      <c r="X20" s="127">
        <f t="shared" si="183"/>
        <v>22.4925</v>
      </c>
      <c r="Y20" s="127">
        <f t="shared" si="183"/>
        <v>22.4925</v>
      </c>
      <c r="Z20" s="127">
        <f t="shared" si="183"/>
        <v>22.4925</v>
      </c>
      <c r="AA20" s="127">
        <f t="shared" si="183"/>
        <v>22.4925</v>
      </c>
      <c r="AB20" s="127">
        <f t="shared" si="183"/>
        <v>22.4925</v>
      </c>
      <c r="AC20" s="127">
        <f t="shared" si="183"/>
        <v>22.4925</v>
      </c>
      <c r="AD20" s="127">
        <f t="shared" si="183"/>
        <v>22.4925</v>
      </c>
      <c r="AE20" s="127">
        <f t="shared" si="183"/>
        <v>22.4925</v>
      </c>
      <c r="AF20" s="127">
        <f t="shared" si="183"/>
        <v>22.4925</v>
      </c>
      <c r="AG20" s="127">
        <f t="shared" si="183"/>
        <v>22.4925</v>
      </c>
      <c r="AH20" s="127">
        <f t="shared" si="183"/>
        <v>22.4925</v>
      </c>
      <c r="AI20" s="127">
        <f t="shared" si="183"/>
        <v>22.4925</v>
      </c>
      <c r="AJ20" s="127">
        <f t="shared" si="183"/>
        <v>22.4925</v>
      </c>
      <c r="AK20" s="127">
        <f t="shared" si="183"/>
        <v>22.4925</v>
      </c>
      <c r="AL20" s="127">
        <f t="shared" si="183"/>
        <v>22.4925</v>
      </c>
      <c r="AM20" s="127">
        <f t="shared" si="183"/>
        <v>22.4925</v>
      </c>
      <c r="AN20" s="127">
        <f t="shared" si="183"/>
        <v>22.4925</v>
      </c>
      <c r="AO20" s="127">
        <f t="shared" si="183"/>
        <v>22.4925</v>
      </c>
      <c r="AP20" s="127">
        <f t="shared" si="183"/>
        <v>22.4925</v>
      </c>
      <c r="AQ20" s="127">
        <f t="shared" si="183"/>
        <v>22.4925</v>
      </c>
      <c r="AR20" s="127">
        <f t="shared" si="183"/>
        <v>22.4925</v>
      </c>
      <c r="AS20" s="127">
        <f t="shared" si="183"/>
        <v>22.4925</v>
      </c>
      <c r="AT20" s="127">
        <f t="shared" si="183"/>
        <v>22.4925</v>
      </c>
      <c r="AU20" s="127">
        <f t="shared" si="183"/>
        <v>22.4925</v>
      </c>
      <c r="AV20" s="127">
        <f t="shared" si="183"/>
        <v>22.4925</v>
      </c>
      <c r="AW20" s="127">
        <f t="shared" si="183"/>
        <v>22.4925</v>
      </c>
      <c r="AX20" s="127">
        <f t="shared" si="183"/>
        <v>22.4925</v>
      </c>
      <c r="AY20" s="127">
        <f t="shared" si="183"/>
        <v>22.4925</v>
      </c>
      <c r="AZ20" s="127">
        <f t="shared" si="183"/>
        <v>22.4925</v>
      </c>
      <c r="BA20" s="127">
        <f t="shared" si="183"/>
        <v>22.4925</v>
      </c>
      <c r="BB20" s="127">
        <f t="shared" si="183"/>
        <v>22.4925</v>
      </c>
      <c r="BC20" s="127">
        <f t="shared" si="183"/>
        <v>22.4925</v>
      </c>
      <c r="BD20" s="127">
        <f t="shared" si="183"/>
        <v>22.4925</v>
      </c>
      <c r="BE20" s="127">
        <f t="shared" si="183"/>
        <v>22.4925</v>
      </c>
      <c r="BF20" s="127">
        <f t="shared" si="183"/>
        <v>22.4925</v>
      </c>
      <c r="BG20" s="127">
        <f t="shared" si="183"/>
        <v>22.4925</v>
      </c>
      <c r="BH20" s="127">
        <f t="shared" si="183"/>
        <v>22.4925</v>
      </c>
      <c r="BI20" s="127">
        <f t="shared" si="183"/>
        <v>22.4925</v>
      </c>
      <c r="BJ20" s="127">
        <f t="shared" si="183"/>
        <v>22.4925</v>
      </c>
    </row>
    <row r="21" spans="1:70" s="12" customFormat="1" x14ac:dyDescent="0.2">
      <c r="B21" s="12" t="s">
        <v>19</v>
      </c>
      <c r="C21" s="69">
        <v>145</v>
      </c>
      <c r="D21" s="69">
        <v>245</v>
      </c>
      <c r="E21" s="69">
        <v>257</v>
      </c>
      <c r="F21" s="69">
        <v>302</v>
      </c>
      <c r="G21" s="69">
        <v>703</v>
      </c>
      <c r="H21" s="12">
        <f t="shared" ref="H21:BJ21" si="184">H20*H19*H13</f>
        <v>1133.0596874999999</v>
      </c>
      <c r="I21" s="12">
        <f t="shared" si="184"/>
        <v>1584.8215499999999</v>
      </c>
      <c r="J21" s="12">
        <f t="shared" si="184"/>
        <v>2049.6290625000001</v>
      </c>
      <c r="K21" s="12">
        <f t="shared" si="184"/>
        <v>2531.7557999999999</v>
      </c>
      <c r="L21" s="12">
        <f t="shared" si="184"/>
        <v>3029.8522125000004</v>
      </c>
      <c r="M21" s="12">
        <f t="shared" si="184"/>
        <v>3539.1948750000006</v>
      </c>
      <c r="N21" s="12">
        <f t="shared" si="184"/>
        <v>4061.5831875000008</v>
      </c>
      <c r="O21" s="12">
        <f t="shared" si="184"/>
        <v>4595.6676000000007</v>
      </c>
      <c r="P21" s="12">
        <f t="shared" si="184"/>
        <v>5140.0985625000012</v>
      </c>
      <c r="Q21" s="12">
        <f t="shared" si="184"/>
        <v>5697.3502500000013</v>
      </c>
      <c r="R21" s="12">
        <f t="shared" si="184"/>
        <v>6262.4743125000014</v>
      </c>
      <c r="S21" s="12">
        <f t="shared" si="184"/>
        <v>6838.169850000002</v>
      </c>
      <c r="T21" s="12">
        <f t="shared" si="184"/>
        <v>7423.4247000000032</v>
      </c>
      <c r="U21" s="12">
        <f t="shared" si="184"/>
        <v>8025.7738500000023</v>
      </c>
      <c r="V21" s="12">
        <f t="shared" si="184"/>
        <v>8636.1078375000034</v>
      </c>
      <c r="W21" s="12">
        <f t="shared" si="184"/>
        <v>9257.9130000000005</v>
      </c>
      <c r="X21" s="12">
        <f t="shared" si="184"/>
        <v>9649.2824999999993</v>
      </c>
      <c r="Y21" s="12">
        <f t="shared" si="184"/>
        <v>10031.655000000001</v>
      </c>
      <c r="Z21" s="12">
        <f t="shared" si="184"/>
        <v>10409.529</v>
      </c>
      <c r="AA21" s="12">
        <f t="shared" si="184"/>
        <v>10778.405999999999</v>
      </c>
      <c r="AB21" s="12">
        <f t="shared" si="184"/>
        <v>11142.7845</v>
      </c>
      <c r="AC21" s="12">
        <f t="shared" si="184"/>
        <v>11507.163</v>
      </c>
      <c r="AD21" s="12">
        <f t="shared" si="184"/>
        <v>11871.541499999999</v>
      </c>
      <c r="AE21" s="12">
        <f t="shared" si="184"/>
        <v>12231.4215</v>
      </c>
      <c r="AF21" s="12">
        <f t="shared" si="184"/>
        <v>12591.3015</v>
      </c>
      <c r="AG21" s="12">
        <f t="shared" si="184"/>
        <v>12955.68</v>
      </c>
      <c r="AH21" s="12">
        <f t="shared" si="184"/>
        <v>13324.557000000001</v>
      </c>
      <c r="AI21" s="12">
        <f t="shared" si="184"/>
        <v>13702.431</v>
      </c>
      <c r="AJ21" s="12">
        <f t="shared" si="184"/>
        <v>14084.8035</v>
      </c>
      <c r="AK21" s="12">
        <f t="shared" si="184"/>
        <v>14476.173000000001</v>
      </c>
      <c r="AL21" s="12">
        <f t="shared" si="184"/>
        <v>14876.539499999999</v>
      </c>
      <c r="AM21" s="12">
        <f t="shared" si="184"/>
        <v>15294.9</v>
      </c>
      <c r="AN21" s="12">
        <f t="shared" si="184"/>
        <v>15726.755999999999</v>
      </c>
      <c r="AO21" s="12">
        <f t="shared" si="184"/>
        <v>16176.606</v>
      </c>
      <c r="AP21" s="12">
        <f t="shared" si="184"/>
        <v>16648.948499999999</v>
      </c>
      <c r="AQ21" s="12">
        <f t="shared" si="184"/>
        <v>17148.281999999999</v>
      </c>
      <c r="AR21" s="12">
        <f t="shared" si="184"/>
        <v>17674.606499999998</v>
      </c>
      <c r="AS21" s="12">
        <f t="shared" si="184"/>
        <v>18232.4205</v>
      </c>
      <c r="AT21" s="12">
        <f t="shared" si="184"/>
        <v>18826.2225</v>
      </c>
      <c r="AU21" s="12">
        <f t="shared" si="184"/>
        <v>19460.510999999999</v>
      </c>
      <c r="AV21" s="12">
        <f t="shared" si="184"/>
        <v>20139.784499999998</v>
      </c>
      <c r="AW21" s="12">
        <f t="shared" si="184"/>
        <v>20868.541499999999</v>
      </c>
      <c r="AX21" s="12">
        <f t="shared" si="184"/>
        <v>21651.280500000001</v>
      </c>
      <c r="AY21" s="12">
        <f t="shared" si="184"/>
        <v>22492.5</v>
      </c>
      <c r="AZ21" s="12">
        <f t="shared" si="184"/>
        <v>23405.695499999998</v>
      </c>
      <c r="BA21" s="12">
        <f t="shared" si="184"/>
        <v>24395.3655</v>
      </c>
      <c r="BB21" s="12">
        <f t="shared" si="184"/>
        <v>25470.507000000001</v>
      </c>
      <c r="BC21" s="12">
        <f t="shared" si="184"/>
        <v>26640.116999999998</v>
      </c>
      <c r="BD21" s="12">
        <f t="shared" si="184"/>
        <v>27908.694</v>
      </c>
      <c r="BE21" s="12">
        <f t="shared" si="184"/>
        <v>29294.232</v>
      </c>
      <c r="BF21" s="12">
        <f t="shared" si="184"/>
        <v>30810.226500000001</v>
      </c>
      <c r="BG21" s="12">
        <f t="shared" si="184"/>
        <v>32461.175999999999</v>
      </c>
      <c r="BH21" s="12">
        <f t="shared" si="184"/>
        <v>34265.074500000002</v>
      </c>
      <c r="BI21" s="12">
        <f t="shared" si="184"/>
        <v>36235.417499999996</v>
      </c>
      <c r="BJ21" s="12">
        <f t="shared" si="184"/>
        <v>38399.195999999996</v>
      </c>
    </row>
    <row r="22" spans="1:70" x14ac:dyDescent="0.2">
      <c r="C22" s="115"/>
      <c r="D22" s="115"/>
      <c r="E22" s="115"/>
      <c r="F22" s="115"/>
      <c r="G22" s="115"/>
    </row>
    <row r="23" spans="1:70" x14ac:dyDescent="0.2">
      <c r="B23" s="132" t="s">
        <v>20</v>
      </c>
      <c r="C23" s="115">
        <v>12</v>
      </c>
      <c r="D23" s="115">
        <v>17</v>
      </c>
      <c r="E23" s="115">
        <v>21</v>
      </c>
      <c r="F23" s="115">
        <v>25</v>
      </c>
      <c r="G23" s="115">
        <v>359</v>
      </c>
      <c r="H23">
        <f>ROUND('Traffic Detail'!H5*SEMToEcommerce+'Traffic Detail'!H9*FacebookToEcommerce+SUM('Traffic Detail'!H19:H20)*OrganicToEcommerceConversion,0)</f>
        <v>362</v>
      </c>
      <c r="I23">
        <f>ROUND('Traffic Detail'!I5*SEMToEcommerce+'Traffic Detail'!I9*FacebookToEcommerce+SUM('Traffic Detail'!I19:I20)*OrganicToEcommerceConversion,0)</f>
        <v>363</v>
      </c>
      <c r="J23">
        <f>ROUND('Traffic Detail'!J5*SEMToEcommerce+'Traffic Detail'!J9*FacebookToEcommerce+SUM('Traffic Detail'!J19:J20)*OrganicToEcommerceConversion,0)</f>
        <v>364</v>
      </c>
      <c r="K23">
        <f>ROUND('Traffic Detail'!K5*SEMToEcommerce+'Traffic Detail'!K9*FacebookToEcommerce+SUM('Traffic Detail'!K19:K20)*OrganicToEcommerceConversion,0)</f>
        <v>366</v>
      </c>
      <c r="L23">
        <f>ROUND('Traffic Detail'!L5*SEMToEcommerce+'Traffic Detail'!L9*FacebookToEcommerce+SUM('Traffic Detail'!L19:L20)*OrganicToEcommerceConversion,0)</f>
        <v>367</v>
      </c>
      <c r="M23">
        <f>ROUND('Traffic Detail'!M5*SEMToEcommerce+'Traffic Detail'!M9*FacebookToEcommerce+SUM('Traffic Detail'!M19:M20)*OrganicToEcommerceConversion,0)</f>
        <v>369</v>
      </c>
      <c r="N23">
        <f>ROUND('Traffic Detail'!N5*SEMToEcommerce+'Traffic Detail'!N9*FacebookToEcommerce+SUM('Traffic Detail'!N19:N20)*OrganicToEcommerceConversion,0)</f>
        <v>370</v>
      </c>
      <c r="O23">
        <f>ROUND('Traffic Detail'!O5*SEMToEcommerce+'Traffic Detail'!O9*FacebookToEcommerce+SUM('Traffic Detail'!O19:O20)*OrganicToEcommerceConversion,0)</f>
        <v>372</v>
      </c>
      <c r="P23">
        <f>ROUND('Traffic Detail'!P5*SEMToEcommerce+'Traffic Detail'!P9*FacebookToEcommerce+SUM('Traffic Detail'!P19:P20)*OrganicToEcommerceConversion,0)</f>
        <v>374</v>
      </c>
      <c r="Q23">
        <f>ROUND('Traffic Detail'!Q5*SEMToEcommerce+'Traffic Detail'!Q9*FacebookToEcommerce+SUM('Traffic Detail'!Q19:Q20)*OrganicToEcommerceConversion,0)</f>
        <v>377</v>
      </c>
      <c r="R23">
        <f>ROUND('Traffic Detail'!R5*SEMToEcommerce+'Traffic Detail'!R9*FacebookToEcommerce+SUM('Traffic Detail'!R19:R20)*OrganicToEcommerceConversion,0)</f>
        <v>379</v>
      </c>
      <c r="S23">
        <f>ROUND('Traffic Detail'!S5*SEMToEcommerce+'Traffic Detail'!S9*FacebookToEcommerce+SUM('Traffic Detail'!S19:S20)*OrganicToEcommerceConversion,0)</f>
        <v>382</v>
      </c>
      <c r="T23">
        <f>ROUND('Traffic Detail'!T5*SEMToEcommerce+'Traffic Detail'!T9*FacebookToEcommerce+SUM('Traffic Detail'!T19:T20)*OrganicToEcommerceConversion,0)</f>
        <v>384</v>
      </c>
      <c r="U23">
        <f>ROUND('Traffic Detail'!U5*SEMToEcommerce+'Traffic Detail'!U9*FacebookToEcommerce+SUM('Traffic Detail'!U19:U20)*OrganicToEcommerceConversion,0)</f>
        <v>387</v>
      </c>
      <c r="V23">
        <f>ROUND('Traffic Detail'!V5*SEMToEcommerce+'Traffic Detail'!V9*FacebookToEcommerce+SUM('Traffic Detail'!V19:V20)*OrganicToEcommerceConversion,0)</f>
        <v>391</v>
      </c>
      <c r="W23">
        <f>ROUND('Traffic Detail'!W5*SEMToEcommerce+'Traffic Detail'!W9*FacebookToEcommerce+SUM('Traffic Detail'!W19:W20)*OrganicToEcommerceConversion,0)</f>
        <v>395</v>
      </c>
      <c r="X23">
        <f>ROUND('Traffic Detail'!X5*SEMToEcommerce+'Traffic Detail'!X9*FacebookToEcommerce+SUM('Traffic Detail'!X19:X20)*OrganicToEcommerceConversion,0)</f>
        <v>399</v>
      </c>
      <c r="Y23">
        <f>ROUND('Traffic Detail'!Y5*SEMToEcommerce+'Traffic Detail'!Y9*FacebookToEcommerce+SUM('Traffic Detail'!Y19:Y20)*OrganicToEcommerceConversion,0)</f>
        <v>403</v>
      </c>
      <c r="Z23">
        <f>ROUND('Traffic Detail'!Z5*SEMToEcommerce+'Traffic Detail'!Z9*FacebookToEcommerce+SUM('Traffic Detail'!Z19:Z20)*OrganicToEcommerceConversion,0)</f>
        <v>408</v>
      </c>
      <c r="AA23">
        <f>ROUND('Traffic Detail'!AA5*SEMToEcommerce+'Traffic Detail'!AA9*FacebookToEcommerce+SUM('Traffic Detail'!AA19:AA20)*OrganicToEcommerceConversion,0)</f>
        <v>413</v>
      </c>
      <c r="AB23">
        <f>ROUND('Traffic Detail'!AB5*SEMToEcommerce+'Traffic Detail'!AB9*FacebookToEcommerce+SUM('Traffic Detail'!AB19:AB20)*OrganicToEcommerceConversion,0)</f>
        <v>419</v>
      </c>
      <c r="AC23">
        <f>ROUND('Traffic Detail'!AC5*SEMToEcommerce+'Traffic Detail'!AC9*FacebookToEcommerce+SUM('Traffic Detail'!AC19:AC20)*OrganicToEcommerceConversion,0)</f>
        <v>426</v>
      </c>
      <c r="AD23">
        <f>ROUND('Traffic Detail'!AD5*SEMToEcommerce+'Traffic Detail'!AD9*FacebookToEcommerce+SUM('Traffic Detail'!AD19:AD20)*OrganicToEcommerceConversion,0)</f>
        <v>433</v>
      </c>
      <c r="AE23">
        <f>ROUND('Traffic Detail'!AE5*SEMToEcommerce+'Traffic Detail'!AE9*FacebookToEcommerce+SUM('Traffic Detail'!AE19:AE20)*OrganicToEcommerceConversion,0)</f>
        <v>441</v>
      </c>
      <c r="AF23">
        <f>ROUND('Traffic Detail'!AF5*SEMToEcommerce+'Traffic Detail'!AF9*FacebookToEcommerce+SUM('Traffic Detail'!AF19:AF20)*OrganicToEcommerceConversion,0)</f>
        <v>449</v>
      </c>
      <c r="AG23">
        <f>ROUND('Traffic Detail'!AG5*SEMToEcommerce+'Traffic Detail'!AG9*FacebookToEcommerce+SUM('Traffic Detail'!AG19:AG20)*OrganicToEcommerceConversion,0)</f>
        <v>459</v>
      </c>
      <c r="AH23">
        <f>ROUND('Traffic Detail'!AH5*SEMToEcommerce+'Traffic Detail'!AH9*FacebookToEcommerce+SUM('Traffic Detail'!AH19:AH20)*OrganicToEcommerceConversion,0)</f>
        <v>469</v>
      </c>
      <c r="AI23">
        <f>ROUND('Traffic Detail'!AI5*SEMToEcommerce+'Traffic Detail'!AI9*FacebookToEcommerce+SUM('Traffic Detail'!AI19:AI20)*OrganicToEcommerceConversion,0)</f>
        <v>480</v>
      </c>
      <c r="AJ23">
        <f>ROUND('Traffic Detail'!AJ5*SEMToEcommerce+'Traffic Detail'!AJ9*FacebookToEcommerce+SUM('Traffic Detail'!AJ19:AJ20)*OrganicToEcommerceConversion,0)</f>
        <v>493</v>
      </c>
      <c r="AK23">
        <f>ROUND('Traffic Detail'!AK5*SEMToEcommerce+'Traffic Detail'!AK9*FacebookToEcommerce+SUM('Traffic Detail'!AK19:AK20)*OrganicToEcommerceConversion,0)</f>
        <v>506</v>
      </c>
      <c r="AL23">
        <f>ROUND('Traffic Detail'!AL5*SEMToEcommerce+'Traffic Detail'!AL9*FacebookToEcommerce+SUM('Traffic Detail'!AL19:AL20)*OrganicToEcommerceConversion,0)</f>
        <v>522</v>
      </c>
      <c r="AM23">
        <f>ROUND('Traffic Detail'!AM5*SEMToEcommerce+'Traffic Detail'!AM9*FacebookToEcommerce+SUM('Traffic Detail'!AM19:AM20)*OrganicToEcommerceConversion,0)</f>
        <v>538</v>
      </c>
      <c r="AN23">
        <f>ROUND('Traffic Detail'!AN5*SEMToEcommerce+'Traffic Detail'!AN9*FacebookToEcommerce+SUM('Traffic Detail'!AN19:AN20)*OrganicToEcommerceConversion,0)</f>
        <v>556</v>
      </c>
      <c r="AO23">
        <f>ROUND('Traffic Detail'!AO5*SEMToEcommerce+'Traffic Detail'!AO9*FacebookToEcommerce+SUM('Traffic Detail'!AO19:AO20)*OrganicToEcommerceConversion,0)</f>
        <v>576</v>
      </c>
      <c r="AP23">
        <f>ROUND('Traffic Detail'!AP5*SEMToEcommerce+'Traffic Detail'!AP9*FacebookToEcommerce+SUM('Traffic Detail'!AP19:AP20)*OrganicToEcommerceConversion,0)</f>
        <v>598</v>
      </c>
      <c r="AQ23">
        <f>ROUND('Traffic Detail'!AQ5*SEMToEcommerce+'Traffic Detail'!AQ9*FacebookToEcommerce+SUM('Traffic Detail'!AQ19:AQ20)*OrganicToEcommerceConversion,0)</f>
        <v>623</v>
      </c>
      <c r="AR23">
        <f>ROUND('Traffic Detail'!AR5*SEMToEcommerce+'Traffic Detail'!AR9*FacebookToEcommerce+SUM('Traffic Detail'!AR19:AR20)*OrganicToEcommerceConversion,0)</f>
        <v>649</v>
      </c>
      <c r="AS23">
        <f>ROUND('Traffic Detail'!AS5*SEMToEcommerce+'Traffic Detail'!AS9*FacebookToEcommerce+SUM('Traffic Detail'!AS19:AS20)*OrganicToEcommerceConversion,0)</f>
        <v>678</v>
      </c>
      <c r="AT23">
        <f>ROUND('Traffic Detail'!AT5*SEMToEcommerce+'Traffic Detail'!AT9*FacebookToEcommerce+SUM('Traffic Detail'!AT19:AT20)*OrganicToEcommerceConversion,0)</f>
        <v>711</v>
      </c>
      <c r="AU23">
        <f>ROUND('Traffic Detail'!AU5*SEMToEcommerce+'Traffic Detail'!AU9*FacebookToEcommerce+SUM('Traffic Detail'!AU19:AU20)*OrganicToEcommerceConversion,0)</f>
        <v>746</v>
      </c>
      <c r="AV23">
        <f>ROUND('Traffic Detail'!AV5*SEMToEcommerce+'Traffic Detail'!AV9*FacebookToEcommerce+SUM('Traffic Detail'!AV19:AV20)*OrganicToEcommerceConversion,0)</f>
        <v>785</v>
      </c>
      <c r="AW23">
        <f>ROUND('Traffic Detail'!AW5*SEMToEcommerce+'Traffic Detail'!AW9*FacebookToEcommerce+SUM('Traffic Detail'!AW19:AW20)*OrganicToEcommerceConversion,0)</f>
        <v>828</v>
      </c>
      <c r="AX23">
        <f>ROUND('Traffic Detail'!AX5*SEMToEcommerce+'Traffic Detail'!AX9*FacebookToEcommerce+SUM('Traffic Detail'!AX19:AX20)*OrganicToEcommerceConversion,0)</f>
        <v>875</v>
      </c>
      <c r="AY23">
        <f>ROUND('Traffic Detail'!AY5*SEMToEcommerce+'Traffic Detail'!AY9*FacebookToEcommerce+SUM('Traffic Detail'!AY19:AY20)*OrganicToEcommerceConversion,0)</f>
        <v>927</v>
      </c>
      <c r="AZ23">
        <f>ROUND('Traffic Detail'!AZ5*SEMToEcommerce+'Traffic Detail'!AZ9*FacebookToEcommerce+SUM('Traffic Detail'!AZ19:AZ20)*OrganicToEcommerceConversion,0)</f>
        <v>984</v>
      </c>
      <c r="BA23">
        <f>ROUND('Traffic Detail'!BA5*SEMToEcommerce+'Traffic Detail'!BA9*FacebookToEcommerce+SUM('Traffic Detail'!BA19:BA20)*OrganicToEcommerceConversion,0)</f>
        <v>1046</v>
      </c>
      <c r="BB23">
        <f>ROUND('Traffic Detail'!BB5*SEMToEcommerce+'Traffic Detail'!BB9*FacebookToEcommerce+SUM('Traffic Detail'!BB19:BB20)*OrganicToEcommerceConversion,0)</f>
        <v>1115</v>
      </c>
      <c r="BC23">
        <f>ROUND('Traffic Detail'!BC5*SEMToEcommerce+'Traffic Detail'!BC9*FacebookToEcommerce+SUM('Traffic Detail'!BC19:BC20)*OrganicToEcommerceConversion,0)</f>
        <v>1191</v>
      </c>
      <c r="BD23">
        <f>ROUND('Traffic Detail'!BD5*SEMToEcommerce+'Traffic Detail'!BD9*FacebookToEcommerce+SUM('Traffic Detail'!BD19:BD20)*OrganicToEcommerceConversion,0)</f>
        <v>1274</v>
      </c>
      <c r="BE23">
        <f>ROUND('Traffic Detail'!BE5*SEMToEcommerce+'Traffic Detail'!BE9*FacebookToEcommerce+SUM('Traffic Detail'!BE19:BE20)*OrganicToEcommerceConversion,0)</f>
        <v>1366</v>
      </c>
      <c r="BF23">
        <f>ROUND('Traffic Detail'!BF5*SEMToEcommerce+'Traffic Detail'!BF9*FacebookToEcommerce+SUM('Traffic Detail'!BF19:BF20)*OrganicToEcommerceConversion,0)</f>
        <v>1467</v>
      </c>
      <c r="BG23">
        <f>ROUND('Traffic Detail'!BG5*SEMToEcommerce+'Traffic Detail'!BG9*FacebookToEcommerce+SUM('Traffic Detail'!BG19:BG20)*OrganicToEcommerceConversion,0)</f>
        <v>1578</v>
      </c>
      <c r="BH23">
        <f>ROUND('Traffic Detail'!BH5*SEMToEcommerce+'Traffic Detail'!BH9*FacebookToEcommerce+SUM('Traffic Detail'!BH19:BH20)*OrganicToEcommerceConversion,0)</f>
        <v>1700</v>
      </c>
      <c r="BI23">
        <f>ROUND('Traffic Detail'!BI5*SEMToEcommerce+'Traffic Detail'!BI9*FacebookToEcommerce+SUM('Traffic Detail'!BI19:BI20)*OrganicToEcommerceConversion,0)</f>
        <v>1834</v>
      </c>
      <c r="BJ23">
        <f>ROUND('Traffic Detail'!BJ5*SEMToEcommerce+'Traffic Detail'!BJ9*FacebookToEcommerce+SUM('Traffic Detail'!BJ19:BJ20)*OrganicToEcommerceConversion,0)</f>
        <v>1982</v>
      </c>
    </row>
    <row r="24" spans="1:70" s="103" customFormat="1" x14ac:dyDescent="0.2">
      <c r="A24" s="114"/>
      <c r="B24" s="114" t="s">
        <v>21</v>
      </c>
      <c r="C24" s="121">
        <v>34.01</v>
      </c>
      <c r="D24" s="137">
        <v>30.32</v>
      </c>
      <c r="E24" s="137">
        <v>32.119999999999997</v>
      </c>
      <c r="F24" s="137">
        <v>39.270000000000003</v>
      </c>
      <c r="G24" s="137">
        <v>37.89</v>
      </c>
      <c r="H24" s="127">
        <f t="shared" ref="H24:BJ24" si="185">G24*1.02</f>
        <v>38.647800000000004</v>
      </c>
      <c r="I24" s="127">
        <f t="shared" si="185"/>
        <v>39.420756000000004</v>
      </c>
      <c r="J24" s="127">
        <f t="shared" si="185"/>
        <v>40.209171120000008</v>
      </c>
      <c r="K24" s="127">
        <f t="shared" si="185"/>
        <v>41.013354542400009</v>
      </c>
      <c r="L24" s="127">
        <f t="shared" si="185"/>
        <v>41.833621633248008</v>
      </c>
      <c r="M24" s="127">
        <f t="shared" si="185"/>
        <v>42.670294065912969</v>
      </c>
      <c r="N24" s="127">
        <f t="shared" si="185"/>
        <v>43.523699947231229</v>
      </c>
      <c r="O24" s="127">
        <f t="shared" si="185"/>
        <v>44.394173946175854</v>
      </c>
      <c r="P24" s="127">
        <f t="shared" si="185"/>
        <v>45.282057425099374</v>
      </c>
      <c r="Q24" s="127">
        <f t="shared" si="185"/>
        <v>46.187698573601359</v>
      </c>
      <c r="R24" s="127">
        <f t="shared" si="185"/>
        <v>47.111452545073391</v>
      </c>
      <c r="S24" s="127">
        <f t="shared" si="185"/>
        <v>48.053681595974858</v>
      </c>
      <c r="T24" s="127">
        <f t="shared" si="185"/>
        <v>49.014755227894355</v>
      </c>
      <c r="U24" s="127">
        <f t="shared" si="185"/>
        <v>49.995050332452244</v>
      </c>
      <c r="V24" s="127">
        <f t="shared" si="185"/>
        <v>50.994951339101291</v>
      </c>
      <c r="W24" s="127">
        <f t="shared" si="185"/>
        <v>52.014850365883319</v>
      </c>
      <c r="X24" s="127">
        <f t="shared" si="185"/>
        <v>53.055147373200988</v>
      </c>
      <c r="Y24" s="127">
        <f t="shared" si="185"/>
        <v>54.11625032066501</v>
      </c>
      <c r="Z24" s="127">
        <f t="shared" si="185"/>
        <v>55.198575327078309</v>
      </c>
      <c r="AA24" s="127">
        <f t="shared" si="185"/>
        <v>56.302546833619878</v>
      </c>
      <c r="AB24" s="127">
        <f t="shared" si="185"/>
        <v>57.428597770292278</v>
      </c>
      <c r="AC24" s="127">
        <f t="shared" si="185"/>
        <v>58.577169725698127</v>
      </c>
      <c r="AD24" s="127">
        <f t="shared" si="185"/>
        <v>59.748713120212088</v>
      </c>
      <c r="AE24" s="127">
        <f t="shared" si="185"/>
        <v>60.943687382616332</v>
      </c>
      <c r="AF24" s="127">
        <f t="shared" si="185"/>
        <v>62.162561130268656</v>
      </c>
      <c r="AG24" s="127">
        <f t="shared" si="185"/>
        <v>63.40581235287403</v>
      </c>
      <c r="AH24" s="127">
        <f t="shared" si="185"/>
        <v>64.673928599931514</v>
      </c>
      <c r="AI24" s="127">
        <f t="shared" si="185"/>
        <v>65.967407171930148</v>
      </c>
      <c r="AJ24" s="127">
        <f t="shared" si="185"/>
        <v>67.286755315368751</v>
      </c>
      <c r="AK24" s="127">
        <f t="shared" si="185"/>
        <v>68.632490421676124</v>
      </c>
      <c r="AL24" s="127">
        <f t="shared" si="185"/>
        <v>70.005140230109646</v>
      </c>
      <c r="AM24" s="127">
        <f t="shared" si="185"/>
        <v>71.405243034711845</v>
      </c>
      <c r="AN24" s="127">
        <f t="shared" si="185"/>
        <v>72.833347895406078</v>
      </c>
      <c r="AO24" s="127">
        <f t="shared" si="185"/>
        <v>74.290014853314204</v>
      </c>
      <c r="AP24" s="127">
        <f t="shared" si="185"/>
        <v>75.775815150380495</v>
      </c>
      <c r="AQ24" s="127">
        <f t="shared" si="185"/>
        <v>77.291331453388111</v>
      </c>
      <c r="AR24" s="127">
        <f t="shared" si="185"/>
        <v>78.837158082455872</v>
      </c>
      <c r="AS24" s="127">
        <f t="shared" si="185"/>
        <v>80.413901244104991</v>
      </c>
      <c r="AT24" s="127">
        <f t="shared" si="185"/>
        <v>82.022179268987088</v>
      </c>
      <c r="AU24" s="127">
        <f t="shared" si="185"/>
        <v>83.66262285436683</v>
      </c>
      <c r="AV24" s="127">
        <f t="shared" si="185"/>
        <v>85.335875311454174</v>
      </c>
      <c r="AW24" s="127">
        <f t="shared" si="185"/>
        <v>87.042592817683257</v>
      </c>
      <c r="AX24" s="127">
        <f t="shared" si="185"/>
        <v>88.783444674036929</v>
      </c>
      <c r="AY24" s="127">
        <f t="shared" si="185"/>
        <v>90.55911356751767</v>
      </c>
      <c r="AZ24" s="127">
        <f t="shared" si="185"/>
        <v>92.370295838868032</v>
      </c>
      <c r="BA24" s="127">
        <f t="shared" si="185"/>
        <v>94.217701755645393</v>
      </c>
      <c r="BB24" s="127">
        <f t="shared" si="185"/>
        <v>96.1020557907583</v>
      </c>
      <c r="BC24" s="127">
        <f t="shared" si="185"/>
        <v>98.024096906573462</v>
      </c>
      <c r="BD24" s="127">
        <f t="shared" si="185"/>
        <v>99.984578844704927</v>
      </c>
      <c r="BE24" s="127">
        <f t="shared" si="185"/>
        <v>101.98427042159902</v>
      </c>
      <c r="BF24" s="127">
        <f t="shared" si="185"/>
        <v>104.023955830031</v>
      </c>
      <c r="BG24" s="127">
        <f t="shared" si="185"/>
        <v>106.10443494663163</v>
      </c>
      <c r="BH24" s="127">
        <f t="shared" si="185"/>
        <v>108.22652364556426</v>
      </c>
      <c r="BI24" s="127">
        <f t="shared" si="185"/>
        <v>110.39105411847554</v>
      </c>
      <c r="BJ24" s="127">
        <f t="shared" si="185"/>
        <v>112.59887520084504</v>
      </c>
      <c r="BK24" s="127"/>
      <c r="BL24" s="127"/>
      <c r="BM24" s="127"/>
      <c r="BN24" s="127"/>
      <c r="BO24" s="127"/>
      <c r="BP24" s="127"/>
      <c r="BQ24" s="127"/>
      <c r="BR24" s="127"/>
    </row>
    <row r="25" spans="1:70" s="12" customFormat="1" x14ac:dyDescent="0.2">
      <c r="B25" s="12" t="s">
        <v>22</v>
      </c>
      <c r="C25" s="69">
        <f>C23*C24</f>
        <v>408.12</v>
      </c>
      <c r="D25" s="69">
        <f>D23*D24</f>
        <v>515.44000000000005</v>
      </c>
      <c r="E25" s="69">
        <f t="shared" ref="E25:BJ25" si="186">E23*E24</f>
        <v>674.52</v>
      </c>
      <c r="F25" s="69">
        <f t="shared" si="186"/>
        <v>981.75000000000011</v>
      </c>
      <c r="G25" s="69">
        <f t="shared" si="186"/>
        <v>13602.51</v>
      </c>
      <c r="H25" s="12">
        <f t="shared" si="186"/>
        <v>13990.503600000002</v>
      </c>
      <c r="I25" s="12">
        <f t="shared" si="186"/>
        <v>14309.734428000002</v>
      </c>
      <c r="J25" s="12">
        <f t="shared" si="186"/>
        <v>14636.138287680003</v>
      </c>
      <c r="K25" s="12">
        <f t="shared" si="186"/>
        <v>15010.887762518403</v>
      </c>
      <c r="L25" s="12">
        <f t="shared" si="186"/>
        <v>15352.939139402019</v>
      </c>
      <c r="M25" s="12">
        <f t="shared" si="186"/>
        <v>15745.338510321886</v>
      </c>
      <c r="N25" s="12">
        <f t="shared" si="186"/>
        <v>16103.768980475556</v>
      </c>
      <c r="O25" s="12">
        <f t="shared" si="186"/>
        <v>16514.632707977416</v>
      </c>
      <c r="P25" s="12">
        <f t="shared" si="186"/>
        <v>16935.489476987164</v>
      </c>
      <c r="Q25" s="12">
        <f t="shared" si="186"/>
        <v>17412.762362247711</v>
      </c>
      <c r="R25" s="12">
        <f t="shared" si="186"/>
        <v>17855.240514582816</v>
      </c>
      <c r="S25" s="12">
        <f t="shared" si="186"/>
        <v>18356.506369662395</v>
      </c>
      <c r="T25" s="12">
        <f t="shared" si="186"/>
        <v>18821.666007511434</v>
      </c>
      <c r="U25" s="12">
        <f t="shared" si="186"/>
        <v>19348.084478659017</v>
      </c>
      <c r="V25" s="12">
        <f t="shared" si="186"/>
        <v>19939.025973588607</v>
      </c>
      <c r="W25" s="12">
        <f t="shared" si="186"/>
        <v>20545.865894523911</v>
      </c>
      <c r="X25" s="12">
        <f t="shared" si="186"/>
        <v>21169.003801907194</v>
      </c>
      <c r="Y25" s="12">
        <f t="shared" si="186"/>
        <v>21808.848879228</v>
      </c>
      <c r="Z25" s="12">
        <f t="shared" si="186"/>
        <v>22521.018733447949</v>
      </c>
      <c r="AA25" s="12">
        <f t="shared" si="186"/>
        <v>23252.951842285009</v>
      </c>
      <c r="AB25" s="12">
        <f t="shared" si="186"/>
        <v>24062.582465752464</v>
      </c>
      <c r="AC25" s="12">
        <f t="shared" si="186"/>
        <v>24953.8743031474</v>
      </c>
      <c r="AD25" s="12">
        <f t="shared" si="186"/>
        <v>25871.192781051835</v>
      </c>
      <c r="AE25" s="12">
        <f t="shared" si="186"/>
        <v>26876.166135733802</v>
      </c>
      <c r="AF25" s="12">
        <f t="shared" si="186"/>
        <v>27910.989947490627</v>
      </c>
      <c r="AG25" s="12">
        <f t="shared" si="186"/>
        <v>29103.267869969179</v>
      </c>
      <c r="AH25" s="12">
        <f t="shared" si="186"/>
        <v>30332.072513367879</v>
      </c>
      <c r="AI25" s="12">
        <f t="shared" si="186"/>
        <v>31664.35544252647</v>
      </c>
      <c r="AJ25" s="12">
        <f t="shared" si="186"/>
        <v>33172.370370476798</v>
      </c>
      <c r="AK25" s="12">
        <f t="shared" si="186"/>
        <v>34728.040153368122</v>
      </c>
      <c r="AL25" s="12">
        <f t="shared" si="186"/>
        <v>36542.683200117237</v>
      </c>
      <c r="AM25" s="12">
        <f t="shared" si="186"/>
        <v>38416.020752674973</v>
      </c>
      <c r="AN25" s="12">
        <f t="shared" si="186"/>
        <v>40495.341429845779</v>
      </c>
      <c r="AO25" s="12">
        <f t="shared" si="186"/>
        <v>42791.048555508984</v>
      </c>
      <c r="AP25" s="12">
        <f t="shared" si="186"/>
        <v>45313.93745992754</v>
      </c>
      <c r="AQ25" s="12">
        <f t="shared" si="186"/>
        <v>48152.49949546079</v>
      </c>
      <c r="AR25" s="12">
        <f t="shared" si="186"/>
        <v>51165.315595513865</v>
      </c>
      <c r="AS25" s="12">
        <f t="shared" si="186"/>
        <v>54520.625043503183</v>
      </c>
      <c r="AT25" s="12">
        <f t="shared" si="186"/>
        <v>58317.769460249823</v>
      </c>
      <c r="AU25" s="12">
        <f t="shared" si="186"/>
        <v>62412.316649357657</v>
      </c>
      <c r="AV25" s="12">
        <f t="shared" si="186"/>
        <v>66988.662119491521</v>
      </c>
      <c r="AW25" s="12">
        <f t="shared" si="186"/>
        <v>72071.266853041743</v>
      </c>
      <c r="AX25" s="12">
        <f t="shared" si="186"/>
        <v>77685.514089782315</v>
      </c>
      <c r="AY25" s="12">
        <f t="shared" si="186"/>
        <v>83948.298277088878</v>
      </c>
      <c r="AZ25" s="12">
        <f t="shared" si="186"/>
        <v>90892.371105446146</v>
      </c>
      <c r="BA25" s="12">
        <f t="shared" si="186"/>
        <v>98551.71603640508</v>
      </c>
      <c r="BB25" s="12">
        <f t="shared" si="186"/>
        <v>107153.79220669551</v>
      </c>
      <c r="BC25" s="12">
        <f t="shared" si="186"/>
        <v>116746.69941572899</v>
      </c>
      <c r="BD25" s="12">
        <f t="shared" si="186"/>
        <v>127380.35344815408</v>
      </c>
      <c r="BE25" s="12">
        <f t="shared" si="186"/>
        <v>139310.51339590427</v>
      </c>
      <c r="BF25" s="12">
        <f t="shared" si="186"/>
        <v>152603.14320265548</v>
      </c>
      <c r="BG25" s="12">
        <f t="shared" si="186"/>
        <v>167432.79834578471</v>
      </c>
      <c r="BH25" s="12">
        <f t="shared" si="186"/>
        <v>183985.09019745924</v>
      </c>
      <c r="BI25" s="12">
        <f t="shared" si="186"/>
        <v>202457.19325328415</v>
      </c>
      <c r="BJ25" s="12">
        <f t="shared" si="186"/>
        <v>223170.97064807487</v>
      </c>
    </row>
    <row r="26" spans="1:70" x14ac:dyDescent="0.2">
      <c r="C26" s="115"/>
      <c r="D26" s="115"/>
      <c r="E26" s="115"/>
      <c r="F26" s="115"/>
      <c r="G26" s="115"/>
    </row>
    <row r="27" spans="1:70" x14ac:dyDescent="0.2">
      <c r="C27" s="115"/>
      <c r="D27" s="115"/>
      <c r="E27" s="115"/>
      <c r="F27" s="115"/>
      <c r="G27" s="115"/>
    </row>
    <row r="28" spans="1:70" x14ac:dyDescent="0.2">
      <c r="B28" s="132" t="s">
        <v>23</v>
      </c>
      <c r="C28" s="113">
        <v>4702</v>
      </c>
      <c r="D28" s="113">
        <v>7034</v>
      </c>
      <c r="E28" s="113">
        <v>8438</v>
      </c>
      <c r="F28" s="113">
        <v>9621</v>
      </c>
      <c r="G28" s="113">
        <v>54892</v>
      </c>
      <c r="H28" s="1">
        <f>PagesPerVisit*'Traffic Detail'!H22</f>
        <v>54597.159051051043</v>
      </c>
      <c r="I28" s="1">
        <f>PagesPerVisit*'Traffic Detail'!I22</f>
        <v>55421.975351051049</v>
      </c>
      <c r="J28" s="1">
        <f>PagesPerVisit*'Traffic Detail'!J22</f>
        <v>56306.866281051058</v>
      </c>
      <c r="K28" s="1">
        <f>PagesPerVisit*'Traffic Detail'!K22</f>
        <v>57257.261804051057</v>
      </c>
      <c r="L28" s="1">
        <f>PagesPerVisit*'Traffic Detail'!L22</f>
        <v>58282.715379351059</v>
      </c>
      <c r="M28" s="1">
        <f>PagesPerVisit*'Traffic Detail'!M22</f>
        <v>59391.194812181049</v>
      </c>
      <c r="N28" s="1">
        <f>PagesPerVisit*'Traffic Detail'!N22</f>
        <v>60590.309688294059</v>
      </c>
      <c r="O28" s="1">
        <f>PagesPerVisit*'Traffic Detail'!O22</f>
        <v>61890.856052018367</v>
      </c>
      <c r="P28" s="1">
        <f>PagesPerVisit*'Traffic Detail'!P22</f>
        <v>63303.439052115093</v>
      </c>
      <c r="Q28" s="1">
        <f>PagesPerVisit*'Traffic Detail'!Q22</f>
        <v>64839.724352221499</v>
      </c>
      <c r="R28" s="1">
        <f>PagesPerVisit*'Traffic Detail'!R22</f>
        <v>66513.699182338547</v>
      </c>
      <c r="S28" s="1">
        <f>PagesPerVisit*'Traffic Detail'!S22</f>
        <v>68338.32399546729</v>
      </c>
      <c r="T28" s="1">
        <f>PagesPerVisit*'Traffic Detail'!T22</f>
        <v>70330.280789908924</v>
      </c>
      <c r="U28" s="1">
        <f>PagesPerVisit*'Traffic Detail'!U22</f>
        <v>72506.649263794709</v>
      </c>
      <c r="V28" s="1">
        <f>PagesPerVisit*'Traffic Detail'!V22</f>
        <v>74888.527085069087</v>
      </c>
      <c r="W28" s="1">
        <f>PagesPerVisit*'Traffic Detail'!W22</f>
        <v>77494.27068847089</v>
      </c>
      <c r="X28" s="1">
        <f>PagesPerVisit*'Traffic Detail'!X22</f>
        <v>80347.76815221287</v>
      </c>
      <c r="Y28" s="1">
        <f>PagesPerVisit*'Traffic Detail'!Y22</f>
        <v>83474.025862329057</v>
      </c>
      <c r="Z28" s="1">
        <f>PagesPerVisit*'Traffic Detail'!Z22</f>
        <v>86900.550843456847</v>
      </c>
      <c r="AA28" s="1">
        <f>PagesPerVisit*'Traffic Detail'!AA22</f>
        <v>90658.755822697451</v>
      </c>
      <c r="AB28" s="1">
        <f>PagesPerVisit*'Traffic Detail'!AB22</f>
        <v>94780.769299862091</v>
      </c>
      <c r="AC28" s="1">
        <f>PagesPerVisit*'Traffic Detail'!AC22</f>
        <v>99304.358124743187</v>
      </c>
      <c r="AD28" s="1">
        <f>PagesPerVisit*'Traffic Detail'!AD22</f>
        <v>104270.95033211241</v>
      </c>
      <c r="AE28" s="1">
        <f>PagesPerVisit*'Traffic Detail'!AE22</f>
        <v>109724.84626021855</v>
      </c>
      <c r="AF28" s="1">
        <f>PagesPerVisit*'Traffic Detail'!AF22</f>
        <v>115713.62128113532</v>
      </c>
      <c r="AG28" s="1">
        <f>PagesPerVisit*'Traffic Detail'!AG22</f>
        <v>122292.03380414375</v>
      </c>
      <c r="AH28" s="1">
        <f>PagesPerVisit*'Traffic Detail'!AH22</f>
        <v>129520.20257945301</v>
      </c>
      <c r="AI28" s="1">
        <f>PagesPerVisit*'Traffic Detail'!AI22</f>
        <v>137462.98773229323</v>
      </c>
      <c r="AJ28" s="1">
        <f>PagesPerVisit*'Traffic Detail'!AJ22</f>
        <v>146192.89040041744</v>
      </c>
      <c r="AK28" s="1">
        <f>PagesPerVisit*'Traffic Detail'!AK22</f>
        <v>155787.2363353541</v>
      </c>
      <c r="AL28" s="1">
        <f>PagesPerVisit*'Traffic Detail'!AL22</f>
        <v>166333.50936378443</v>
      </c>
      <c r="AM28" s="1">
        <f>PagesPerVisit*'Traffic Detail'!AM22</f>
        <v>177926.67119505774</v>
      </c>
      <c r="AN28" s="1">
        <f>PagesPerVisit*'Traffic Detail'!AN22</f>
        <v>190673.48970945843</v>
      </c>
      <c r="AO28" s="1">
        <f>PagesPerVisit*'Traffic Detail'!AO22</f>
        <v>204687.71357529916</v>
      </c>
      <c r="AP28" s="1">
        <f>PagesPerVisit*'Traffic Detail'!AP22</f>
        <v>220096.891827724</v>
      </c>
      <c r="AQ28" s="1">
        <f>PagesPerVisit*'Traffic Detail'!AQ22</f>
        <v>237041.21290539126</v>
      </c>
      <c r="AR28" s="1">
        <f>PagesPerVisit*'Traffic Detail'!AR22</f>
        <v>255674.76859082526</v>
      </c>
      <c r="AS28" s="1">
        <f>PagesPerVisit*'Traffic Detail'!AS22</f>
        <v>276165.78934480273</v>
      </c>
      <c r="AT28" s="1">
        <f>PagesPerVisit*'Traffic Detail'!AT22</f>
        <v>298700.4836741779</v>
      </c>
      <c r="AU28" s="1">
        <f>PagesPerVisit*'Traffic Detail'!AU22</f>
        <v>323483.56543649064</v>
      </c>
      <c r="AV28" s="1">
        <f>PagesPerVisit*'Traffic Detail'!AV22</f>
        <v>350740.10437503463</v>
      </c>
      <c r="AW28" s="1">
        <f>PagesPerVisit*'Traffic Detail'!AW22</f>
        <v>380717.56170743296</v>
      </c>
      <c r="AX28" s="1">
        <f>PagesPerVisit*'Traffic Detail'!AX22</f>
        <v>413688.02927307121</v>
      </c>
      <c r="AY28" s="1">
        <f>PagesPerVisit*'Traffic Detail'!AY22</f>
        <v>449950.69259527326</v>
      </c>
      <c r="AZ28" s="1">
        <f>PagesPerVisit*'Traffic Detail'!AZ22</f>
        <v>489834.54024969565</v>
      </c>
      <c r="BA28" s="1">
        <f>PagesPerVisit*'Traffic Detail'!BA22</f>
        <v>533703.65416956006</v>
      </c>
      <c r="BB28" s="1">
        <f>PagesPerVisit*'Traffic Detail'!BB22</f>
        <v>581955.86798141093</v>
      </c>
      <c r="BC28" s="1">
        <f>PagesPerVisit*'Traffic Detail'!BC22</f>
        <v>635029.83817444695</v>
      </c>
      <c r="BD28" s="1">
        <f>PagesPerVisit*'Traffic Detail'!BD22</f>
        <v>693407.85588678659</v>
      </c>
      <c r="BE28" s="1">
        <f>PagesPerVisit*'Traffic Detail'!BE22</f>
        <v>757619.05537036015</v>
      </c>
      <c r="BF28" s="1">
        <f>PagesPerVisit*'Traffic Detail'!BF22</f>
        <v>828248.83380229108</v>
      </c>
      <c r="BG28" s="1">
        <f>PagesPerVisit*'Traffic Detail'!BG22</f>
        <v>905939.5110774152</v>
      </c>
      <c r="BH28" s="1">
        <f>PagesPerVisit*'Traffic Detail'!BH22</f>
        <v>991394.98258005176</v>
      </c>
      <c r="BI28" s="1">
        <f>PagesPerVisit*'Traffic Detail'!BI22</f>
        <v>1085392.8827329518</v>
      </c>
      <c r="BJ28" s="1">
        <f>PagesPerVisit*'Traffic Detail'!BJ22</f>
        <v>1188786.9924011419</v>
      </c>
    </row>
    <row r="29" spans="1:70" s="103" customFormat="1" x14ac:dyDescent="0.2">
      <c r="A29" s="114"/>
      <c r="B29" s="114" t="s">
        <v>34</v>
      </c>
      <c r="C29" s="115">
        <v>0.55000000000000004</v>
      </c>
      <c r="D29" s="115">
        <v>0.52</v>
      </c>
      <c r="E29" s="115">
        <v>0.61</v>
      </c>
      <c r="F29" s="115">
        <v>0.68</v>
      </c>
      <c r="G29" s="115">
        <v>0.8</v>
      </c>
      <c r="H29" s="103">
        <f t="shared" ref="H29:R29" si="187">G29+0.1</f>
        <v>0.9</v>
      </c>
      <c r="I29" s="103">
        <f t="shared" si="187"/>
        <v>1</v>
      </c>
      <c r="J29" s="103">
        <f t="shared" si="187"/>
        <v>1.1000000000000001</v>
      </c>
      <c r="K29" s="103">
        <f t="shared" si="187"/>
        <v>1.2000000000000002</v>
      </c>
      <c r="L29" s="103">
        <f t="shared" si="187"/>
        <v>1.3000000000000003</v>
      </c>
      <c r="M29" s="103">
        <f t="shared" si="187"/>
        <v>1.4000000000000004</v>
      </c>
      <c r="N29" s="103">
        <f t="shared" si="187"/>
        <v>1.5000000000000004</v>
      </c>
      <c r="O29" s="103">
        <f t="shared" si="187"/>
        <v>1.6000000000000005</v>
      </c>
      <c r="P29" s="103">
        <f t="shared" si="187"/>
        <v>1.7000000000000006</v>
      </c>
      <c r="Q29" s="103">
        <f t="shared" si="187"/>
        <v>1.8000000000000007</v>
      </c>
      <c r="R29" s="103">
        <f t="shared" si="187"/>
        <v>1.9000000000000008</v>
      </c>
      <c r="S29" s="103">
        <f>R29</f>
        <v>1.9000000000000008</v>
      </c>
      <c r="T29" s="103">
        <f t="shared" ref="T29:BJ29" si="188">S29</f>
        <v>1.9000000000000008</v>
      </c>
      <c r="U29" s="103">
        <f t="shared" si="188"/>
        <v>1.9000000000000008</v>
      </c>
      <c r="V29" s="103">
        <f t="shared" si="188"/>
        <v>1.9000000000000008</v>
      </c>
      <c r="W29" s="103">
        <f t="shared" si="188"/>
        <v>1.9000000000000008</v>
      </c>
      <c r="X29" s="103">
        <f t="shared" si="188"/>
        <v>1.9000000000000008</v>
      </c>
      <c r="Y29" s="103">
        <f t="shared" si="188"/>
        <v>1.9000000000000008</v>
      </c>
      <c r="Z29" s="103">
        <f t="shared" si="188"/>
        <v>1.9000000000000008</v>
      </c>
      <c r="AA29" s="103">
        <f t="shared" si="188"/>
        <v>1.9000000000000008</v>
      </c>
      <c r="AB29" s="103">
        <f t="shared" si="188"/>
        <v>1.9000000000000008</v>
      </c>
      <c r="AC29" s="103">
        <f t="shared" si="188"/>
        <v>1.9000000000000008</v>
      </c>
      <c r="AD29" s="103">
        <f t="shared" si="188"/>
        <v>1.9000000000000008</v>
      </c>
      <c r="AE29" s="103">
        <f t="shared" si="188"/>
        <v>1.9000000000000008</v>
      </c>
      <c r="AF29" s="103">
        <f t="shared" si="188"/>
        <v>1.9000000000000008</v>
      </c>
      <c r="AG29" s="103">
        <f t="shared" si="188"/>
        <v>1.9000000000000008</v>
      </c>
      <c r="AH29" s="103">
        <f t="shared" si="188"/>
        <v>1.9000000000000008</v>
      </c>
      <c r="AI29" s="103">
        <f t="shared" si="188"/>
        <v>1.9000000000000008</v>
      </c>
      <c r="AJ29" s="103">
        <f t="shared" si="188"/>
        <v>1.9000000000000008</v>
      </c>
      <c r="AK29" s="103">
        <f t="shared" si="188"/>
        <v>1.9000000000000008</v>
      </c>
      <c r="AL29" s="103">
        <f t="shared" si="188"/>
        <v>1.9000000000000008</v>
      </c>
      <c r="AM29" s="103">
        <f t="shared" si="188"/>
        <v>1.9000000000000008</v>
      </c>
      <c r="AN29" s="103">
        <f t="shared" si="188"/>
        <v>1.9000000000000008</v>
      </c>
      <c r="AO29" s="103">
        <f t="shared" si="188"/>
        <v>1.9000000000000008</v>
      </c>
      <c r="AP29" s="103">
        <f t="shared" si="188"/>
        <v>1.9000000000000008</v>
      </c>
      <c r="AQ29" s="103">
        <f t="shared" si="188"/>
        <v>1.9000000000000008</v>
      </c>
      <c r="AR29" s="103">
        <f t="shared" si="188"/>
        <v>1.9000000000000008</v>
      </c>
      <c r="AS29" s="103">
        <f t="shared" si="188"/>
        <v>1.9000000000000008</v>
      </c>
      <c r="AT29" s="103">
        <f t="shared" si="188"/>
        <v>1.9000000000000008</v>
      </c>
      <c r="AU29" s="103">
        <f t="shared" si="188"/>
        <v>1.9000000000000008</v>
      </c>
      <c r="AV29" s="103">
        <f t="shared" si="188"/>
        <v>1.9000000000000008</v>
      </c>
      <c r="AW29" s="103">
        <f t="shared" si="188"/>
        <v>1.9000000000000008</v>
      </c>
      <c r="AX29" s="103">
        <f t="shared" si="188"/>
        <v>1.9000000000000008</v>
      </c>
      <c r="AY29" s="103">
        <f t="shared" si="188"/>
        <v>1.9000000000000008</v>
      </c>
      <c r="AZ29" s="103">
        <f t="shared" si="188"/>
        <v>1.9000000000000008</v>
      </c>
      <c r="BA29" s="103">
        <f t="shared" si="188"/>
        <v>1.9000000000000008</v>
      </c>
      <c r="BB29" s="103">
        <f t="shared" si="188"/>
        <v>1.9000000000000008</v>
      </c>
      <c r="BC29" s="103">
        <f t="shared" si="188"/>
        <v>1.9000000000000008</v>
      </c>
      <c r="BD29" s="103">
        <f t="shared" si="188"/>
        <v>1.9000000000000008</v>
      </c>
      <c r="BE29" s="103">
        <f t="shared" si="188"/>
        <v>1.9000000000000008</v>
      </c>
      <c r="BF29" s="103">
        <f t="shared" si="188"/>
        <v>1.9000000000000008</v>
      </c>
      <c r="BG29" s="103">
        <f t="shared" si="188"/>
        <v>1.9000000000000008</v>
      </c>
      <c r="BH29" s="103">
        <f t="shared" si="188"/>
        <v>1.9000000000000008</v>
      </c>
      <c r="BI29" s="103">
        <f t="shared" si="188"/>
        <v>1.9000000000000008</v>
      </c>
      <c r="BJ29" s="103">
        <f t="shared" si="188"/>
        <v>1.9000000000000008</v>
      </c>
    </row>
    <row r="30" spans="1:70" s="103" customFormat="1" x14ac:dyDescent="0.2">
      <c r="A30" s="114"/>
      <c r="B30" s="114" t="s">
        <v>24</v>
      </c>
      <c r="C30" s="121">
        <v>0.45</v>
      </c>
      <c r="D30" s="137">
        <v>0.55000000000000004</v>
      </c>
      <c r="E30" s="137">
        <v>0.61</v>
      </c>
      <c r="F30" s="137">
        <v>0.66</v>
      </c>
      <c r="G30" s="137">
        <v>0.74</v>
      </c>
      <c r="H30" s="127">
        <f t="shared" ref="H30:AI30" si="189">MIN(G30*(1+CPMGrowthPerMonth), MaxCPMOnAdsSold)</f>
        <v>0.81400000000000006</v>
      </c>
      <c r="I30" s="127">
        <f t="shared" si="189"/>
        <v>0.89540000000000008</v>
      </c>
      <c r="J30" s="127">
        <f t="shared" si="189"/>
        <v>0.98494000000000015</v>
      </c>
      <c r="K30" s="127">
        <f t="shared" si="189"/>
        <v>1.0834340000000002</v>
      </c>
      <c r="L30" s="127">
        <f t="shared" si="189"/>
        <v>1.1917774000000003</v>
      </c>
      <c r="M30" s="127">
        <f t="shared" si="189"/>
        <v>1.3109551400000004</v>
      </c>
      <c r="N30" s="127">
        <f t="shared" si="189"/>
        <v>1.4420506540000004</v>
      </c>
      <c r="O30" s="127">
        <f t="shared" si="189"/>
        <v>1.5</v>
      </c>
      <c r="P30" s="127">
        <f t="shared" si="189"/>
        <v>1.5</v>
      </c>
      <c r="Q30" s="127">
        <f t="shared" si="189"/>
        <v>1.5</v>
      </c>
      <c r="R30" s="127">
        <f t="shared" si="189"/>
        <v>1.5</v>
      </c>
      <c r="S30" s="127">
        <f t="shared" si="189"/>
        <v>1.5</v>
      </c>
      <c r="T30" s="127">
        <f t="shared" si="189"/>
        <v>1.5</v>
      </c>
      <c r="U30" s="127">
        <f t="shared" si="189"/>
        <v>1.5</v>
      </c>
      <c r="V30" s="127">
        <f t="shared" si="189"/>
        <v>1.5</v>
      </c>
      <c r="W30" s="127">
        <f t="shared" si="189"/>
        <v>1.5</v>
      </c>
      <c r="X30" s="127">
        <f t="shared" si="189"/>
        <v>1.5</v>
      </c>
      <c r="Y30" s="127">
        <f t="shared" si="189"/>
        <v>1.5</v>
      </c>
      <c r="Z30" s="127">
        <f t="shared" si="189"/>
        <v>1.5</v>
      </c>
      <c r="AA30" s="127">
        <f t="shared" si="189"/>
        <v>1.5</v>
      </c>
      <c r="AB30" s="127">
        <f t="shared" si="189"/>
        <v>1.5</v>
      </c>
      <c r="AC30" s="127">
        <f t="shared" si="189"/>
        <v>1.5</v>
      </c>
      <c r="AD30" s="127">
        <f t="shared" si="189"/>
        <v>1.5</v>
      </c>
      <c r="AE30" s="127">
        <f t="shared" si="189"/>
        <v>1.5</v>
      </c>
      <c r="AF30" s="127">
        <f t="shared" si="189"/>
        <v>1.5</v>
      </c>
      <c r="AG30" s="127">
        <f t="shared" si="189"/>
        <v>1.5</v>
      </c>
      <c r="AH30" s="127">
        <f t="shared" si="189"/>
        <v>1.5</v>
      </c>
      <c r="AI30" s="127">
        <f t="shared" si="189"/>
        <v>1.5</v>
      </c>
      <c r="AJ30" s="127">
        <f t="shared" ref="AJ30:BJ30" si="190">MIN(AI30*(1+CPMGrowthPerMonth), MaxCPMOnAdsSold)</f>
        <v>1.5</v>
      </c>
      <c r="AK30" s="127">
        <f t="shared" si="190"/>
        <v>1.5</v>
      </c>
      <c r="AL30" s="127">
        <f t="shared" si="190"/>
        <v>1.5</v>
      </c>
      <c r="AM30" s="127">
        <f t="shared" si="190"/>
        <v>1.5</v>
      </c>
      <c r="AN30" s="127">
        <f t="shared" si="190"/>
        <v>1.5</v>
      </c>
      <c r="AO30" s="127">
        <f t="shared" si="190"/>
        <v>1.5</v>
      </c>
      <c r="AP30" s="127">
        <f t="shared" si="190"/>
        <v>1.5</v>
      </c>
      <c r="AQ30" s="127">
        <f t="shared" si="190"/>
        <v>1.5</v>
      </c>
      <c r="AR30" s="127">
        <f t="shared" si="190"/>
        <v>1.5</v>
      </c>
      <c r="AS30" s="127">
        <f t="shared" si="190"/>
        <v>1.5</v>
      </c>
      <c r="AT30" s="127">
        <f t="shared" si="190"/>
        <v>1.5</v>
      </c>
      <c r="AU30" s="127">
        <f t="shared" si="190"/>
        <v>1.5</v>
      </c>
      <c r="AV30" s="127">
        <f t="shared" si="190"/>
        <v>1.5</v>
      </c>
      <c r="AW30" s="127">
        <f t="shared" si="190"/>
        <v>1.5</v>
      </c>
      <c r="AX30" s="127">
        <f t="shared" si="190"/>
        <v>1.5</v>
      </c>
      <c r="AY30" s="127">
        <f t="shared" si="190"/>
        <v>1.5</v>
      </c>
      <c r="AZ30" s="127">
        <f t="shared" si="190"/>
        <v>1.5</v>
      </c>
      <c r="BA30" s="127">
        <f t="shared" si="190"/>
        <v>1.5</v>
      </c>
      <c r="BB30" s="127">
        <f t="shared" si="190"/>
        <v>1.5</v>
      </c>
      <c r="BC30" s="127">
        <f t="shared" si="190"/>
        <v>1.5</v>
      </c>
      <c r="BD30" s="127">
        <f t="shared" si="190"/>
        <v>1.5</v>
      </c>
      <c r="BE30" s="127">
        <f t="shared" si="190"/>
        <v>1.5</v>
      </c>
      <c r="BF30" s="127">
        <f t="shared" si="190"/>
        <v>1.5</v>
      </c>
      <c r="BG30" s="127">
        <f t="shared" si="190"/>
        <v>1.5</v>
      </c>
      <c r="BH30" s="127">
        <f t="shared" si="190"/>
        <v>1.5</v>
      </c>
      <c r="BI30" s="127">
        <f t="shared" si="190"/>
        <v>1.5</v>
      </c>
      <c r="BJ30" s="127">
        <f t="shared" si="190"/>
        <v>1.5</v>
      </c>
    </row>
    <row r="31" spans="1:70" s="12" customFormat="1" x14ac:dyDescent="0.2">
      <c r="B31" s="12" t="s">
        <v>25</v>
      </c>
      <c r="C31" s="69">
        <f>C30*C28*C29/1000</f>
        <v>1.163745</v>
      </c>
      <c r="D31" s="69">
        <f>D30*D28*D29/1000</f>
        <v>2.0117240000000001</v>
      </c>
      <c r="E31" s="69">
        <f t="shared" ref="E31:BJ31" si="191">E30*E28*E29/1000</f>
        <v>3.1397798000000003</v>
      </c>
      <c r="F31" s="69">
        <f t="shared" si="191"/>
        <v>4.3179048000000009</v>
      </c>
      <c r="G31" s="69">
        <f t="shared" si="191"/>
        <v>32.496064000000004</v>
      </c>
      <c r="H31" s="12">
        <f t="shared" si="191"/>
        <v>39.997878720800003</v>
      </c>
      <c r="I31" s="12">
        <f t="shared" si="191"/>
        <v>49.624836729331115</v>
      </c>
      <c r="J31" s="12">
        <f t="shared" si="191"/>
        <v>61.004773362344281</v>
      </c>
      <c r="K31" s="12">
        <f t="shared" si="191"/>
        <v>74.441357022492326</v>
      </c>
      <c r="L31" s="12">
        <f t="shared" si="191"/>
        <v>90.298029899665963</v>
      </c>
      <c r="M31" s="12">
        <f t="shared" si="191"/>
        <v>109.00286895367816</v>
      </c>
      <c r="N31" s="12">
        <f t="shared" si="191"/>
        <v>131.06144356810054</v>
      </c>
      <c r="O31" s="12">
        <f t="shared" si="191"/>
        <v>148.53805452484414</v>
      </c>
      <c r="P31" s="12">
        <f t="shared" si="191"/>
        <v>161.42376958289356</v>
      </c>
      <c r="Q31" s="12">
        <f t="shared" si="191"/>
        <v>175.06725575099813</v>
      </c>
      <c r="R31" s="12">
        <f t="shared" si="191"/>
        <v>189.56404266966496</v>
      </c>
      <c r="S31" s="12">
        <f t="shared" si="191"/>
        <v>194.76422338708187</v>
      </c>
      <c r="T31" s="12">
        <f t="shared" si="191"/>
        <v>200.44130025124053</v>
      </c>
      <c r="U31" s="12">
        <f t="shared" si="191"/>
        <v>206.643950401815</v>
      </c>
      <c r="V31" s="12">
        <f t="shared" si="191"/>
        <v>213.43230219244697</v>
      </c>
      <c r="W31" s="12">
        <f t="shared" si="191"/>
        <v>220.85867146214215</v>
      </c>
      <c r="X31" s="12">
        <f t="shared" si="191"/>
        <v>228.99113923380679</v>
      </c>
      <c r="Y31" s="12">
        <f t="shared" si="191"/>
        <v>237.90097370763792</v>
      </c>
      <c r="Z31" s="12">
        <f t="shared" si="191"/>
        <v>247.66656990385212</v>
      </c>
      <c r="AA31" s="12">
        <f t="shared" si="191"/>
        <v>258.37745409468789</v>
      </c>
      <c r="AB31" s="12">
        <f t="shared" si="191"/>
        <v>270.12519250460707</v>
      </c>
      <c r="AC31" s="12">
        <f t="shared" si="191"/>
        <v>283.01742065551821</v>
      </c>
      <c r="AD31" s="12">
        <f t="shared" si="191"/>
        <v>297.17220844652047</v>
      </c>
      <c r="AE31" s="12">
        <f t="shared" si="191"/>
        <v>312.71581184162301</v>
      </c>
      <c r="AF31" s="12">
        <f t="shared" si="191"/>
        <v>329.78382065123583</v>
      </c>
      <c r="AG31" s="12">
        <f t="shared" si="191"/>
        <v>348.5322963418098</v>
      </c>
      <c r="AH31" s="12">
        <f t="shared" si="191"/>
        <v>369.13257735144123</v>
      </c>
      <c r="AI31" s="12">
        <f t="shared" si="191"/>
        <v>391.76951503703594</v>
      </c>
      <c r="AJ31" s="12">
        <f t="shared" si="191"/>
        <v>416.64973764118992</v>
      </c>
      <c r="AK31" s="12">
        <f t="shared" si="191"/>
        <v>443.99362355575937</v>
      </c>
      <c r="AL31" s="12">
        <f t="shared" si="191"/>
        <v>474.05050168678576</v>
      </c>
      <c r="AM31" s="12">
        <f t="shared" si="191"/>
        <v>507.09101290591485</v>
      </c>
      <c r="AN31" s="12">
        <f t="shared" si="191"/>
        <v>543.41944567195674</v>
      </c>
      <c r="AO31" s="12">
        <f t="shared" si="191"/>
        <v>583.35998368960293</v>
      </c>
      <c r="AP31" s="12">
        <f t="shared" si="191"/>
        <v>627.2761417090137</v>
      </c>
      <c r="AQ31" s="12">
        <f t="shared" si="191"/>
        <v>675.56745678036543</v>
      </c>
      <c r="AR31" s="12">
        <f t="shared" si="191"/>
        <v>728.67309048385232</v>
      </c>
      <c r="AS31" s="12">
        <f t="shared" si="191"/>
        <v>787.07249963268816</v>
      </c>
      <c r="AT31" s="12">
        <f t="shared" si="191"/>
        <v>851.29637847140737</v>
      </c>
      <c r="AU31" s="12">
        <f t="shared" si="191"/>
        <v>921.92816149399869</v>
      </c>
      <c r="AV31" s="12">
        <f t="shared" si="191"/>
        <v>999.60929746884926</v>
      </c>
      <c r="AW31" s="12">
        <f t="shared" si="191"/>
        <v>1085.0450508661845</v>
      </c>
      <c r="AX31" s="12">
        <f t="shared" si="191"/>
        <v>1179.0108834282532</v>
      </c>
      <c r="AY31" s="12">
        <f t="shared" si="191"/>
        <v>1282.3594738965294</v>
      </c>
      <c r="AZ31" s="12">
        <f t="shared" si="191"/>
        <v>1396.0284397116334</v>
      </c>
      <c r="BA31" s="12">
        <f t="shared" si="191"/>
        <v>1521.0554143832471</v>
      </c>
      <c r="BB31" s="12">
        <f t="shared" si="191"/>
        <v>1658.5742237470217</v>
      </c>
      <c r="BC31" s="12">
        <f t="shared" si="191"/>
        <v>1809.8350387971745</v>
      </c>
      <c r="BD31" s="12">
        <f t="shared" si="191"/>
        <v>1976.2123892773425</v>
      </c>
      <c r="BE31" s="12">
        <f t="shared" si="191"/>
        <v>2159.2143078055274</v>
      </c>
      <c r="BF31" s="12">
        <f t="shared" si="191"/>
        <v>2360.5091763365308</v>
      </c>
      <c r="BG31" s="12">
        <f t="shared" si="191"/>
        <v>2581.9276065706345</v>
      </c>
      <c r="BH31" s="12">
        <f t="shared" si="191"/>
        <v>2825.475700353149</v>
      </c>
      <c r="BI31" s="12">
        <f t="shared" si="191"/>
        <v>3093.3697157889133</v>
      </c>
      <c r="BJ31" s="12">
        <f t="shared" si="191"/>
        <v>3388.0429283432559</v>
      </c>
    </row>
  </sheetData>
  <pageMargins left="0.75" right="0.75" top="1" bottom="1" header="0.5" footer="0.5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J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  <sheetView zoomScale="220" zoomScaleNormal="220" zoomScalePageLayoutView="150" workbookViewId="1">
      <pane xSplit="2" ySplit="2" topLeftCell="C3" activePane="bottomRight" state="frozen"/>
      <selection activeCell="C56" sqref="C56"/>
      <selection pane="topRight" activeCell="C56" sqref="C56"/>
      <selection pane="bottomLeft" activeCell="C56" sqref="C56"/>
      <selection pane="bottomRight" activeCell="C2" sqref="C2"/>
    </sheetView>
  </sheetViews>
  <sheetFormatPr baseColWidth="10" defaultRowHeight="16" x14ac:dyDescent="0.2"/>
  <cols>
    <col min="1" max="1" width="12.5" bestFit="1" customWidth="1"/>
    <col min="2" max="2" width="18.33203125" bestFit="1" customWidth="1"/>
    <col min="3" max="3" width="11.6640625" bestFit="1" customWidth="1"/>
    <col min="4" max="4" width="11" bestFit="1" customWidth="1"/>
    <col min="5" max="61" width="11.5" bestFit="1" customWidth="1"/>
    <col min="62" max="62" width="11.6640625" bestFit="1" customWidth="1"/>
  </cols>
  <sheetData>
    <row r="1" spans="1:62" s="1" customFormat="1" x14ac:dyDescent="0.2">
      <c r="A1" s="1" t="s">
        <v>71</v>
      </c>
      <c r="C1" s="1" t="s">
        <v>0</v>
      </c>
    </row>
    <row r="2" spans="1:62" s="2" customFormat="1" x14ac:dyDescent="0.2">
      <c r="C2" s="60">
        <f>'Monthly Income Statement'!C2</f>
        <v>44211</v>
      </c>
      <c r="D2" s="60">
        <f>'Monthly Income Statement'!D2</f>
        <v>44241</v>
      </c>
      <c r="E2" s="60">
        <f>'Monthly Income Statement'!E2</f>
        <v>44271</v>
      </c>
      <c r="F2" s="60">
        <f>'Monthly Income Statement'!F2</f>
        <v>44301</v>
      </c>
      <c r="G2" s="60">
        <f>'Monthly Income Statement'!G2</f>
        <v>44331</v>
      </c>
      <c r="H2" s="60">
        <f>'Monthly Income Statement'!H2</f>
        <v>44361</v>
      </c>
      <c r="I2" s="60">
        <f>'Monthly Income Statement'!I2</f>
        <v>44391</v>
      </c>
      <c r="J2" s="60">
        <f>'Monthly Income Statement'!J2</f>
        <v>44421</v>
      </c>
      <c r="K2" s="60">
        <f>'Monthly Income Statement'!K2</f>
        <v>44451</v>
      </c>
      <c r="L2" s="60">
        <f>'Monthly Income Statement'!L2</f>
        <v>44481</v>
      </c>
      <c r="M2" s="60">
        <f>'Monthly Income Statement'!M2</f>
        <v>44511</v>
      </c>
      <c r="N2" s="60">
        <f>'Monthly Income Statement'!N2</f>
        <v>44541</v>
      </c>
      <c r="O2" s="60">
        <f>'Monthly Income Statement'!O2</f>
        <v>44571</v>
      </c>
      <c r="P2" s="60">
        <f>'Monthly Income Statement'!P2</f>
        <v>44601</v>
      </c>
      <c r="Q2" s="60">
        <f>'Monthly Income Statement'!Q2</f>
        <v>44631</v>
      </c>
      <c r="R2" s="60">
        <f>'Monthly Income Statement'!R2</f>
        <v>44661</v>
      </c>
      <c r="S2" s="60">
        <f>'Monthly Income Statement'!S2</f>
        <v>44691</v>
      </c>
      <c r="T2" s="60">
        <f>'Monthly Income Statement'!T2</f>
        <v>44721</v>
      </c>
      <c r="U2" s="60">
        <f>'Monthly Income Statement'!U2</f>
        <v>44751</v>
      </c>
      <c r="V2" s="60">
        <f>'Monthly Income Statement'!V2</f>
        <v>44781</v>
      </c>
      <c r="W2" s="60">
        <f>'Monthly Income Statement'!W2</f>
        <v>44811</v>
      </c>
      <c r="X2" s="60">
        <f>'Monthly Income Statement'!X2</f>
        <v>44841</v>
      </c>
      <c r="Y2" s="60">
        <f>'Monthly Income Statement'!Y2</f>
        <v>44871</v>
      </c>
      <c r="Z2" s="60">
        <f>'Monthly Income Statement'!Z2</f>
        <v>44901</v>
      </c>
      <c r="AA2" s="60">
        <f>'Monthly Income Statement'!AA2</f>
        <v>44941</v>
      </c>
      <c r="AB2" s="60">
        <f>'Monthly Income Statement'!AB2</f>
        <v>44971</v>
      </c>
      <c r="AC2" s="60">
        <f>'Monthly Income Statement'!AC2</f>
        <v>45001</v>
      </c>
      <c r="AD2" s="60">
        <f>'Monthly Income Statement'!AD2</f>
        <v>45031</v>
      </c>
      <c r="AE2" s="60">
        <f>'Monthly Income Statement'!AE2</f>
        <v>45061</v>
      </c>
      <c r="AF2" s="60">
        <f>'Monthly Income Statement'!AF2</f>
        <v>45091</v>
      </c>
      <c r="AG2" s="60">
        <f>'Monthly Income Statement'!AG2</f>
        <v>45121</v>
      </c>
      <c r="AH2" s="60">
        <f>'Monthly Income Statement'!AH2</f>
        <v>45151</v>
      </c>
      <c r="AI2" s="60">
        <f>'Monthly Income Statement'!AI2</f>
        <v>45181</v>
      </c>
      <c r="AJ2" s="60">
        <f>'Monthly Income Statement'!AJ2</f>
        <v>45211</v>
      </c>
      <c r="AK2" s="60">
        <f>'Monthly Income Statement'!AK2</f>
        <v>45241</v>
      </c>
      <c r="AL2" s="60">
        <f>'Monthly Income Statement'!AL2</f>
        <v>45271</v>
      </c>
      <c r="AM2" s="60">
        <f>'Monthly Income Statement'!AM2</f>
        <v>45301</v>
      </c>
      <c r="AN2" s="60">
        <f>'Monthly Income Statement'!AN2</f>
        <v>45331</v>
      </c>
      <c r="AO2" s="60">
        <f>'Monthly Income Statement'!AO2</f>
        <v>45361</v>
      </c>
      <c r="AP2" s="60">
        <f>'Monthly Income Statement'!AP2</f>
        <v>45391</v>
      </c>
      <c r="AQ2" s="60">
        <f>'Monthly Income Statement'!AQ2</f>
        <v>45421</v>
      </c>
      <c r="AR2" s="60">
        <f>'Monthly Income Statement'!AR2</f>
        <v>45451</v>
      </c>
      <c r="AS2" s="60">
        <f>'Monthly Income Statement'!AS2</f>
        <v>45481</v>
      </c>
      <c r="AT2" s="60">
        <f>'Monthly Income Statement'!AT2</f>
        <v>45511</v>
      </c>
      <c r="AU2" s="60">
        <f>'Monthly Income Statement'!AU2</f>
        <v>45541</v>
      </c>
      <c r="AV2" s="60">
        <f>'Monthly Income Statement'!AV2</f>
        <v>45571</v>
      </c>
      <c r="AW2" s="60">
        <f>'Monthly Income Statement'!AW2</f>
        <v>45601</v>
      </c>
      <c r="AX2" s="60">
        <f>'Monthly Income Statement'!AX2</f>
        <v>45631</v>
      </c>
      <c r="AY2" s="60">
        <f>'Monthly Income Statement'!AY2</f>
        <v>45672</v>
      </c>
      <c r="AZ2" s="60">
        <f>'Monthly Income Statement'!AZ2</f>
        <v>45702</v>
      </c>
      <c r="BA2" s="60">
        <f>'Monthly Income Statement'!BA2</f>
        <v>45732</v>
      </c>
      <c r="BB2" s="60">
        <f>'Monthly Income Statement'!BB2</f>
        <v>45762</v>
      </c>
      <c r="BC2" s="60">
        <f>'Monthly Income Statement'!BC2</f>
        <v>45792</v>
      </c>
      <c r="BD2" s="60">
        <f>'Monthly Income Statement'!BD2</f>
        <v>45822</v>
      </c>
      <c r="BE2" s="60">
        <f>'Monthly Income Statement'!BE2</f>
        <v>45852</v>
      </c>
      <c r="BF2" s="60">
        <f>'Monthly Income Statement'!BF2</f>
        <v>45882</v>
      </c>
      <c r="BG2" s="60">
        <f>'Monthly Income Statement'!BG2</f>
        <v>45912</v>
      </c>
      <c r="BH2" s="60">
        <f>'Monthly Income Statement'!BH2</f>
        <v>45942</v>
      </c>
      <c r="BI2" s="60">
        <f>'Monthly Income Statement'!BI2</f>
        <v>45972</v>
      </c>
      <c r="BJ2" s="60">
        <f>'Monthly Income Statement'!BJ2</f>
        <v>46002</v>
      </c>
    </row>
    <row r="3" spans="1:62" x14ac:dyDescent="0.2">
      <c r="C3" s="65"/>
      <c r="D3" s="65"/>
      <c r="E3" s="65"/>
      <c r="F3" s="65"/>
      <c r="G3" s="65"/>
    </row>
    <row r="4" spans="1:62" x14ac:dyDescent="0.2">
      <c r="B4" t="s">
        <v>72</v>
      </c>
      <c r="C4" s="65">
        <v>1</v>
      </c>
      <c r="D4" s="65">
        <v>1</v>
      </c>
      <c r="E4" s="65">
        <v>1</v>
      </c>
      <c r="F4" s="65">
        <v>1</v>
      </c>
      <c r="G4" s="65">
        <v>1</v>
      </c>
      <c r="H4">
        <f t="shared" ref="H4:BJ7" si="0">G4</f>
        <v>1</v>
      </c>
      <c r="I4">
        <f t="shared" si="0"/>
        <v>1</v>
      </c>
      <c r="J4">
        <f t="shared" si="0"/>
        <v>1</v>
      </c>
      <c r="K4">
        <f t="shared" si="0"/>
        <v>1</v>
      </c>
      <c r="L4">
        <f t="shared" si="0"/>
        <v>1</v>
      </c>
      <c r="M4">
        <f t="shared" si="0"/>
        <v>1</v>
      </c>
      <c r="N4">
        <f t="shared" si="0"/>
        <v>1</v>
      </c>
      <c r="O4">
        <f t="shared" si="0"/>
        <v>1</v>
      </c>
      <c r="P4">
        <f t="shared" si="0"/>
        <v>1</v>
      </c>
      <c r="Q4">
        <f t="shared" si="0"/>
        <v>1</v>
      </c>
      <c r="R4">
        <f t="shared" si="0"/>
        <v>1</v>
      </c>
      <c r="S4">
        <f t="shared" si="0"/>
        <v>1</v>
      </c>
      <c r="T4">
        <f t="shared" si="0"/>
        <v>1</v>
      </c>
      <c r="U4">
        <f t="shared" si="0"/>
        <v>1</v>
      </c>
      <c r="V4">
        <f t="shared" si="0"/>
        <v>1</v>
      </c>
      <c r="W4">
        <f t="shared" si="0"/>
        <v>1</v>
      </c>
      <c r="X4">
        <f t="shared" si="0"/>
        <v>1</v>
      </c>
      <c r="Y4">
        <f t="shared" si="0"/>
        <v>1</v>
      </c>
      <c r="Z4">
        <f t="shared" si="0"/>
        <v>1</v>
      </c>
      <c r="AA4">
        <f t="shared" si="0"/>
        <v>1</v>
      </c>
      <c r="AB4">
        <f t="shared" si="0"/>
        <v>1</v>
      </c>
      <c r="AC4">
        <f t="shared" si="0"/>
        <v>1</v>
      </c>
      <c r="AD4">
        <f t="shared" si="0"/>
        <v>1</v>
      </c>
      <c r="AE4">
        <f t="shared" si="0"/>
        <v>1</v>
      </c>
      <c r="AF4">
        <f t="shared" si="0"/>
        <v>1</v>
      </c>
      <c r="AG4">
        <f t="shared" si="0"/>
        <v>1</v>
      </c>
      <c r="AH4">
        <f t="shared" si="0"/>
        <v>1</v>
      </c>
      <c r="AI4">
        <f t="shared" si="0"/>
        <v>1</v>
      </c>
      <c r="AJ4">
        <f t="shared" si="0"/>
        <v>1</v>
      </c>
      <c r="AK4">
        <f t="shared" si="0"/>
        <v>1</v>
      </c>
      <c r="AL4">
        <f t="shared" si="0"/>
        <v>1</v>
      </c>
      <c r="AM4">
        <f t="shared" si="0"/>
        <v>1</v>
      </c>
      <c r="AN4">
        <f t="shared" si="0"/>
        <v>1</v>
      </c>
      <c r="AO4">
        <f t="shared" si="0"/>
        <v>1</v>
      </c>
      <c r="AP4">
        <f t="shared" si="0"/>
        <v>1</v>
      </c>
      <c r="AQ4">
        <f t="shared" si="0"/>
        <v>1</v>
      </c>
      <c r="AR4">
        <f t="shared" si="0"/>
        <v>1</v>
      </c>
      <c r="AS4">
        <f t="shared" si="0"/>
        <v>1</v>
      </c>
      <c r="AT4">
        <f t="shared" si="0"/>
        <v>1</v>
      </c>
      <c r="AU4">
        <f t="shared" si="0"/>
        <v>1</v>
      </c>
      <c r="AV4">
        <f t="shared" si="0"/>
        <v>1</v>
      </c>
      <c r="AW4">
        <f t="shared" si="0"/>
        <v>1</v>
      </c>
      <c r="AX4">
        <f t="shared" si="0"/>
        <v>1</v>
      </c>
      <c r="AY4">
        <f t="shared" si="0"/>
        <v>1</v>
      </c>
      <c r="AZ4">
        <f t="shared" si="0"/>
        <v>1</v>
      </c>
      <c r="BA4">
        <f t="shared" si="0"/>
        <v>1</v>
      </c>
      <c r="BB4">
        <f t="shared" si="0"/>
        <v>1</v>
      </c>
      <c r="BC4">
        <f t="shared" si="0"/>
        <v>1</v>
      </c>
      <c r="BD4">
        <f t="shared" si="0"/>
        <v>1</v>
      </c>
      <c r="BE4">
        <f t="shared" si="0"/>
        <v>1</v>
      </c>
      <c r="BF4">
        <f t="shared" si="0"/>
        <v>1</v>
      </c>
      <c r="BG4">
        <f t="shared" si="0"/>
        <v>1</v>
      </c>
      <c r="BH4">
        <f t="shared" si="0"/>
        <v>1</v>
      </c>
      <c r="BI4">
        <f t="shared" si="0"/>
        <v>1</v>
      </c>
      <c r="BJ4">
        <f t="shared" si="0"/>
        <v>1</v>
      </c>
    </row>
    <row r="5" spans="1:62" x14ac:dyDescent="0.2">
      <c r="B5" t="s">
        <v>73</v>
      </c>
      <c r="C5" s="65">
        <v>1</v>
      </c>
      <c r="D5" s="65">
        <v>1</v>
      </c>
      <c r="E5" s="65">
        <v>1</v>
      </c>
      <c r="F5" s="65">
        <v>1</v>
      </c>
      <c r="G5" s="65">
        <v>1</v>
      </c>
      <c r="H5">
        <f t="shared" ref="H5:S5" si="1">G5</f>
        <v>1</v>
      </c>
      <c r="I5">
        <f t="shared" si="1"/>
        <v>1</v>
      </c>
      <c r="J5">
        <f t="shared" si="1"/>
        <v>1</v>
      </c>
      <c r="K5">
        <f t="shared" si="1"/>
        <v>1</v>
      </c>
      <c r="L5">
        <f t="shared" si="1"/>
        <v>1</v>
      </c>
      <c r="M5">
        <f t="shared" si="1"/>
        <v>1</v>
      </c>
      <c r="N5">
        <f t="shared" si="1"/>
        <v>1</v>
      </c>
      <c r="O5">
        <f t="shared" si="1"/>
        <v>1</v>
      </c>
      <c r="P5">
        <f t="shared" si="1"/>
        <v>1</v>
      </c>
      <c r="Q5">
        <f t="shared" si="1"/>
        <v>1</v>
      </c>
      <c r="R5">
        <f t="shared" si="1"/>
        <v>1</v>
      </c>
      <c r="S5">
        <f t="shared" si="1"/>
        <v>1</v>
      </c>
      <c r="T5">
        <f t="shared" si="0"/>
        <v>1</v>
      </c>
      <c r="U5">
        <f t="shared" si="0"/>
        <v>1</v>
      </c>
      <c r="V5">
        <f t="shared" si="0"/>
        <v>1</v>
      </c>
      <c r="W5">
        <f t="shared" si="0"/>
        <v>1</v>
      </c>
      <c r="X5">
        <f t="shared" si="0"/>
        <v>1</v>
      </c>
      <c r="Y5">
        <f t="shared" si="0"/>
        <v>1</v>
      </c>
      <c r="Z5">
        <f t="shared" si="0"/>
        <v>1</v>
      </c>
      <c r="AA5">
        <f t="shared" si="0"/>
        <v>1</v>
      </c>
      <c r="AB5">
        <f t="shared" si="0"/>
        <v>1</v>
      </c>
      <c r="AC5">
        <f t="shared" si="0"/>
        <v>1</v>
      </c>
      <c r="AD5">
        <f t="shared" si="0"/>
        <v>1</v>
      </c>
      <c r="AE5">
        <f t="shared" si="0"/>
        <v>1</v>
      </c>
      <c r="AF5">
        <f t="shared" si="0"/>
        <v>1</v>
      </c>
      <c r="AG5">
        <f t="shared" si="0"/>
        <v>1</v>
      </c>
      <c r="AH5">
        <f t="shared" si="0"/>
        <v>1</v>
      </c>
      <c r="AI5">
        <f t="shared" si="0"/>
        <v>1</v>
      </c>
      <c r="AJ5">
        <f t="shared" si="0"/>
        <v>1</v>
      </c>
      <c r="AK5">
        <f t="shared" si="0"/>
        <v>1</v>
      </c>
      <c r="AL5">
        <f t="shared" si="0"/>
        <v>1</v>
      </c>
      <c r="AM5">
        <f t="shared" si="0"/>
        <v>1</v>
      </c>
      <c r="AN5">
        <f t="shared" si="0"/>
        <v>1</v>
      </c>
      <c r="AO5">
        <f t="shared" si="0"/>
        <v>1</v>
      </c>
      <c r="AP5">
        <f t="shared" si="0"/>
        <v>1</v>
      </c>
      <c r="AQ5">
        <f t="shared" si="0"/>
        <v>1</v>
      </c>
      <c r="AR5">
        <f t="shared" si="0"/>
        <v>1</v>
      </c>
      <c r="AS5">
        <f t="shared" si="0"/>
        <v>1</v>
      </c>
      <c r="AT5">
        <f t="shared" si="0"/>
        <v>1</v>
      </c>
      <c r="AU5">
        <f t="shared" si="0"/>
        <v>1</v>
      </c>
      <c r="AV5">
        <f t="shared" si="0"/>
        <v>1</v>
      </c>
      <c r="AW5">
        <f t="shared" si="0"/>
        <v>1</v>
      </c>
      <c r="AX5">
        <f t="shared" si="0"/>
        <v>1</v>
      </c>
      <c r="AY5">
        <f t="shared" si="0"/>
        <v>1</v>
      </c>
      <c r="AZ5">
        <f t="shared" si="0"/>
        <v>1</v>
      </c>
      <c r="BA5">
        <f t="shared" si="0"/>
        <v>1</v>
      </c>
      <c r="BB5">
        <f t="shared" si="0"/>
        <v>1</v>
      </c>
      <c r="BC5">
        <f t="shared" si="0"/>
        <v>1</v>
      </c>
      <c r="BD5">
        <f t="shared" si="0"/>
        <v>1</v>
      </c>
      <c r="BE5">
        <f t="shared" si="0"/>
        <v>1</v>
      </c>
      <c r="BF5">
        <f t="shared" si="0"/>
        <v>1</v>
      </c>
      <c r="BG5">
        <f t="shared" si="0"/>
        <v>1</v>
      </c>
      <c r="BH5">
        <f t="shared" si="0"/>
        <v>1</v>
      </c>
      <c r="BI5">
        <f t="shared" si="0"/>
        <v>1</v>
      </c>
      <c r="BJ5">
        <f t="shared" si="0"/>
        <v>1</v>
      </c>
    </row>
    <row r="6" spans="1:62" x14ac:dyDescent="0.2">
      <c r="B6" t="s">
        <v>75</v>
      </c>
      <c r="C6" s="65">
        <v>1</v>
      </c>
      <c r="D6" s="65">
        <v>1</v>
      </c>
      <c r="E6" s="65">
        <v>1</v>
      </c>
      <c r="F6" s="65">
        <v>2</v>
      </c>
      <c r="G6" s="65">
        <v>2</v>
      </c>
      <c r="H6">
        <f t="shared" si="0"/>
        <v>2</v>
      </c>
      <c r="I6">
        <f t="shared" si="0"/>
        <v>2</v>
      </c>
      <c r="J6">
        <f t="shared" si="0"/>
        <v>2</v>
      </c>
      <c r="K6">
        <f t="shared" si="0"/>
        <v>2</v>
      </c>
      <c r="L6">
        <f t="shared" si="0"/>
        <v>2</v>
      </c>
      <c r="M6">
        <f t="shared" si="0"/>
        <v>2</v>
      </c>
      <c r="N6">
        <f t="shared" si="0"/>
        <v>2</v>
      </c>
      <c r="O6">
        <v>3</v>
      </c>
      <c r="P6">
        <f t="shared" si="0"/>
        <v>3</v>
      </c>
      <c r="Q6">
        <f t="shared" si="0"/>
        <v>3</v>
      </c>
      <c r="R6">
        <f t="shared" si="0"/>
        <v>3</v>
      </c>
      <c r="S6">
        <f t="shared" si="0"/>
        <v>3</v>
      </c>
      <c r="T6">
        <f t="shared" si="0"/>
        <v>3</v>
      </c>
      <c r="U6">
        <f t="shared" si="0"/>
        <v>3</v>
      </c>
      <c r="V6">
        <f t="shared" si="0"/>
        <v>3</v>
      </c>
      <c r="W6">
        <f t="shared" si="0"/>
        <v>3</v>
      </c>
      <c r="X6">
        <f t="shared" si="0"/>
        <v>3</v>
      </c>
      <c r="Y6">
        <f t="shared" si="0"/>
        <v>3</v>
      </c>
      <c r="Z6">
        <f t="shared" si="0"/>
        <v>3</v>
      </c>
      <c r="AA6">
        <f t="shared" si="0"/>
        <v>3</v>
      </c>
      <c r="AB6">
        <f t="shared" si="0"/>
        <v>3</v>
      </c>
      <c r="AC6">
        <f t="shared" si="0"/>
        <v>3</v>
      </c>
      <c r="AD6">
        <f t="shared" si="0"/>
        <v>3</v>
      </c>
      <c r="AE6">
        <f t="shared" si="0"/>
        <v>3</v>
      </c>
      <c r="AF6">
        <f t="shared" si="0"/>
        <v>3</v>
      </c>
      <c r="AG6">
        <f t="shared" si="0"/>
        <v>3</v>
      </c>
      <c r="AH6">
        <f t="shared" si="0"/>
        <v>3</v>
      </c>
      <c r="AI6">
        <f t="shared" si="0"/>
        <v>3</v>
      </c>
      <c r="AJ6">
        <f t="shared" si="0"/>
        <v>3</v>
      </c>
      <c r="AK6">
        <f t="shared" si="0"/>
        <v>3</v>
      </c>
      <c r="AL6">
        <f t="shared" si="0"/>
        <v>3</v>
      </c>
      <c r="AM6">
        <f t="shared" si="0"/>
        <v>3</v>
      </c>
      <c r="AN6">
        <f t="shared" si="0"/>
        <v>3</v>
      </c>
      <c r="AO6">
        <f t="shared" si="0"/>
        <v>3</v>
      </c>
      <c r="AP6">
        <f t="shared" si="0"/>
        <v>3</v>
      </c>
      <c r="AQ6">
        <f t="shared" si="0"/>
        <v>3</v>
      </c>
      <c r="AR6">
        <f t="shared" si="0"/>
        <v>3</v>
      </c>
      <c r="AS6">
        <f t="shared" si="0"/>
        <v>3</v>
      </c>
      <c r="AT6">
        <f t="shared" si="0"/>
        <v>3</v>
      </c>
      <c r="AU6">
        <f t="shared" si="0"/>
        <v>3</v>
      </c>
      <c r="AV6">
        <f t="shared" si="0"/>
        <v>3</v>
      </c>
      <c r="AW6">
        <f t="shared" si="0"/>
        <v>3</v>
      </c>
      <c r="AX6">
        <f t="shared" si="0"/>
        <v>3</v>
      </c>
      <c r="AY6">
        <f t="shared" si="0"/>
        <v>3</v>
      </c>
      <c r="AZ6">
        <f t="shared" si="0"/>
        <v>3</v>
      </c>
      <c r="BA6">
        <f t="shared" si="0"/>
        <v>3</v>
      </c>
      <c r="BB6">
        <f t="shared" si="0"/>
        <v>3</v>
      </c>
      <c r="BC6">
        <f t="shared" si="0"/>
        <v>3</v>
      </c>
      <c r="BD6">
        <f t="shared" si="0"/>
        <v>3</v>
      </c>
      <c r="BE6">
        <f t="shared" si="0"/>
        <v>3</v>
      </c>
      <c r="BF6">
        <f t="shared" si="0"/>
        <v>3</v>
      </c>
      <c r="BG6">
        <f t="shared" si="0"/>
        <v>3</v>
      </c>
      <c r="BH6">
        <f t="shared" si="0"/>
        <v>3</v>
      </c>
      <c r="BI6">
        <f t="shared" si="0"/>
        <v>3</v>
      </c>
      <c r="BJ6">
        <f t="shared" si="0"/>
        <v>3</v>
      </c>
    </row>
    <row r="7" spans="1:62" x14ac:dyDescent="0.2">
      <c r="B7" t="s">
        <v>76</v>
      </c>
      <c r="C7" s="65">
        <v>0</v>
      </c>
      <c r="D7" s="65">
        <v>0</v>
      </c>
      <c r="E7" s="65">
        <v>1</v>
      </c>
      <c r="F7" s="65">
        <v>1</v>
      </c>
      <c r="G7" s="65">
        <v>1</v>
      </c>
      <c r="H7">
        <f t="shared" si="0"/>
        <v>1</v>
      </c>
      <c r="I7">
        <f t="shared" si="0"/>
        <v>1</v>
      </c>
      <c r="J7">
        <f t="shared" si="0"/>
        <v>1</v>
      </c>
      <c r="K7">
        <f t="shared" si="0"/>
        <v>1</v>
      </c>
      <c r="L7">
        <f t="shared" si="0"/>
        <v>1</v>
      </c>
      <c r="M7">
        <f t="shared" si="0"/>
        <v>1</v>
      </c>
      <c r="N7">
        <f t="shared" si="0"/>
        <v>1</v>
      </c>
      <c r="O7">
        <f t="shared" si="0"/>
        <v>1</v>
      </c>
      <c r="P7">
        <f t="shared" si="0"/>
        <v>1</v>
      </c>
      <c r="Q7">
        <f t="shared" si="0"/>
        <v>1</v>
      </c>
      <c r="R7">
        <f t="shared" si="0"/>
        <v>1</v>
      </c>
      <c r="S7">
        <f t="shared" si="0"/>
        <v>1</v>
      </c>
      <c r="T7">
        <f t="shared" si="0"/>
        <v>1</v>
      </c>
      <c r="U7">
        <f t="shared" si="0"/>
        <v>1</v>
      </c>
      <c r="V7">
        <f t="shared" si="0"/>
        <v>1</v>
      </c>
      <c r="W7">
        <f t="shared" si="0"/>
        <v>1</v>
      </c>
      <c r="X7">
        <f t="shared" si="0"/>
        <v>1</v>
      </c>
      <c r="Y7">
        <f t="shared" si="0"/>
        <v>1</v>
      </c>
      <c r="Z7">
        <f t="shared" si="0"/>
        <v>1</v>
      </c>
      <c r="AA7">
        <f t="shared" si="0"/>
        <v>1</v>
      </c>
      <c r="AB7">
        <f t="shared" si="0"/>
        <v>1</v>
      </c>
      <c r="AC7">
        <f t="shared" si="0"/>
        <v>1</v>
      </c>
      <c r="AD7">
        <f t="shared" si="0"/>
        <v>1</v>
      </c>
      <c r="AE7">
        <f t="shared" si="0"/>
        <v>1</v>
      </c>
      <c r="AF7">
        <f t="shared" si="0"/>
        <v>1</v>
      </c>
      <c r="AG7">
        <f t="shared" si="0"/>
        <v>1</v>
      </c>
      <c r="AH7">
        <f t="shared" si="0"/>
        <v>1</v>
      </c>
      <c r="AI7">
        <f t="shared" si="0"/>
        <v>1</v>
      </c>
      <c r="AJ7">
        <f t="shared" si="0"/>
        <v>1</v>
      </c>
      <c r="AK7">
        <f t="shared" si="0"/>
        <v>1</v>
      </c>
      <c r="AL7">
        <f t="shared" si="0"/>
        <v>1</v>
      </c>
      <c r="AM7">
        <f t="shared" si="0"/>
        <v>1</v>
      </c>
      <c r="AN7">
        <f t="shared" si="0"/>
        <v>1</v>
      </c>
      <c r="AO7">
        <f t="shared" si="0"/>
        <v>1</v>
      </c>
      <c r="AP7">
        <f t="shared" si="0"/>
        <v>1</v>
      </c>
      <c r="AQ7">
        <f t="shared" si="0"/>
        <v>1</v>
      </c>
      <c r="AR7">
        <f t="shared" si="0"/>
        <v>1</v>
      </c>
      <c r="AS7">
        <f t="shared" si="0"/>
        <v>1</v>
      </c>
      <c r="AT7">
        <f t="shared" si="0"/>
        <v>1</v>
      </c>
      <c r="AU7">
        <f t="shared" si="0"/>
        <v>1</v>
      </c>
      <c r="AV7">
        <f t="shared" si="0"/>
        <v>1</v>
      </c>
      <c r="AW7">
        <f t="shared" si="0"/>
        <v>1</v>
      </c>
      <c r="AX7">
        <f t="shared" si="0"/>
        <v>1</v>
      </c>
      <c r="AY7">
        <f t="shared" si="0"/>
        <v>1</v>
      </c>
      <c r="AZ7">
        <f t="shared" si="0"/>
        <v>1</v>
      </c>
      <c r="BA7">
        <f t="shared" si="0"/>
        <v>1</v>
      </c>
      <c r="BB7">
        <f t="shared" si="0"/>
        <v>1</v>
      </c>
      <c r="BC7">
        <f t="shared" si="0"/>
        <v>1</v>
      </c>
      <c r="BD7">
        <f t="shared" si="0"/>
        <v>1</v>
      </c>
      <c r="BE7">
        <f t="shared" si="0"/>
        <v>1</v>
      </c>
      <c r="BF7">
        <f t="shared" si="0"/>
        <v>1</v>
      </c>
      <c r="BG7">
        <f t="shared" si="0"/>
        <v>1</v>
      </c>
      <c r="BH7">
        <f t="shared" si="0"/>
        <v>1</v>
      </c>
      <c r="BI7">
        <f t="shared" si="0"/>
        <v>1</v>
      </c>
      <c r="BJ7">
        <f t="shared" si="0"/>
        <v>1</v>
      </c>
    </row>
    <row r="8" spans="1:62" x14ac:dyDescent="0.2">
      <c r="C8" s="65"/>
      <c r="D8" s="65"/>
      <c r="E8" s="65"/>
      <c r="F8" s="65"/>
      <c r="G8" s="65"/>
    </row>
    <row r="9" spans="1:62" x14ac:dyDescent="0.2">
      <c r="B9" t="s">
        <v>74</v>
      </c>
      <c r="C9" s="65">
        <v>1</v>
      </c>
      <c r="D9" s="65">
        <v>1</v>
      </c>
      <c r="E9" s="65">
        <v>1</v>
      </c>
      <c r="F9" s="65">
        <v>1</v>
      </c>
      <c r="G9" s="65">
        <v>1</v>
      </c>
      <c r="H9">
        <f t="shared" ref="H9:BJ9" si="2">G9</f>
        <v>1</v>
      </c>
      <c r="I9">
        <f t="shared" si="2"/>
        <v>1</v>
      </c>
      <c r="J9">
        <f t="shared" si="2"/>
        <v>1</v>
      </c>
      <c r="K9">
        <f t="shared" si="2"/>
        <v>1</v>
      </c>
      <c r="L9">
        <f t="shared" si="2"/>
        <v>1</v>
      </c>
      <c r="M9">
        <f t="shared" si="2"/>
        <v>1</v>
      </c>
      <c r="N9">
        <f t="shared" si="2"/>
        <v>1</v>
      </c>
      <c r="O9">
        <f t="shared" si="2"/>
        <v>1</v>
      </c>
      <c r="P9">
        <f t="shared" si="2"/>
        <v>1</v>
      </c>
      <c r="Q9">
        <f t="shared" si="2"/>
        <v>1</v>
      </c>
      <c r="R9">
        <f t="shared" si="2"/>
        <v>1</v>
      </c>
      <c r="S9">
        <f t="shared" si="2"/>
        <v>1</v>
      </c>
      <c r="T9">
        <f t="shared" si="2"/>
        <v>1</v>
      </c>
      <c r="U9">
        <f t="shared" si="2"/>
        <v>1</v>
      </c>
      <c r="V9">
        <f t="shared" si="2"/>
        <v>1</v>
      </c>
      <c r="W9">
        <f t="shared" si="2"/>
        <v>1</v>
      </c>
      <c r="X9">
        <f t="shared" si="2"/>
        <v>1</v>
      </c>
      <c r="Y9">
        <f t="shared" si="2"/>
        <v>1</v>
      </c>
      <c r="Z9">
        <f t="shared" si="2"/>
        <v>1</v>
      </c>
      <c r="AA9">
        <f t="shared" si="2"/>
        <v>1</v>
      </c>
      <c r="AB9">
        <f t="shared" si="2"/>
        <v>1</v>
      </c>
      <c r="AC9">
        <f t="shared" si="2"/>
        <v>1</v>
      </c>
      <c r="AD9">
        <f t="shared" si="2"/>
        <v>1</v>
      </c>
      <c r="AE9">
        <f t="shared" si="2"/>
        <v>1</v>
      </c>
      <c r="AF9">
        <f t="shared" si="2"/>
        <v>1</v>
      </c>
      <c r="AG9">
        <f t="shared" si="2"/>
        <v>1</v>
      </c>
      <c r="AH9">
        <f t="shared" si="2"/>
        <v>1</v>
      </c>
      <c r="AI9">
        <f t="shared" si="2"/>
        <v>1</v>
      </c>
      <c r="AJ9">
        <f t="shared" si="2"/>
        <v>1</v>
      </c>
      <c r="AK9">
        <f t="shared" si="2"/>
        <v>1</v>
      </c>
      <c r="AL9">
        <f t="shared" si="2"/>
        <v>1</v>
      </c>
      <c r="AM9">
        <f t="shared" si="2"/>
        <v>1</v>
      </c>
      <c r="AN9">
        <f t="shared" si="2"/>
        <v>1</v>
      </c>
      <c r="AO9">
        <f t="shared" si="2"/>
        <v>1</v>
      </c>
      <c r="AP9">
        <f t="shared" si="2"/>
        <v>1</v>
      </c>
      <c r="AQ9">
        <f t="shared" si="2"/>
        <v>1</v>
      </c>
      <c r="AR9">
        <f t="shared" si="2"/>
        <v>1</v>
      </c>
      <c r="AS9">
        <f t="shared" si="2"/>
        <v>1</v>
      </c>
      <c r="AT9">
        <f t="shared" si="2"/>
        <v>1</v>
      </c>
      <c r="AU9">
        <f t="shared" si="2"/>
        <v>1</v>
      </c>
      <c r="AV9">
        <f t="shared" si="2"/>
        <v>1</v>
      </c>
      <c r="AW9">
        <f t="shared" si="2"/>
        <v>1</v>
      </c>
      <c r="AX9">
        <f t="shared" si="2"/>
        <v>1</v>
      </c>
      <c r="AY9">
        <f t="shared" si="2"/>
        <v>1</v>
      </c>
      <c r="AZ9">
        <f t="shared" si="2"/>
        <v>1</v>
      </c>
      <c r="BA9">
        <f t="shared" si="2"/>
        <v>1</v>
      </c>
      <c r="BB9">
        <f t="shared" si="2"/>
        <v>1</v>
      </c>
      <c r="BC9">
        <f t="shared" si="2"/>
        <v>1</v>
      </c>
      <c r="BD9">
        <f t="shared" si="2"/>
        <v>1</v>
      </c>
      <c r="BE9">
        <f t="shared" si="2"/>
        <v>1</v>
      </c>
      <c r="BF9">
        <f t="shared" si="2"/>
        <v>1</v>
      </c>
      <c r="BG9">
        <f t="shared" si="2"/>
        <v>1</v>
      </c>
      <c r="BH9">
        <f t="shared" si="2"/>
        <v>1</v>
      </c>
      <c r="BI9">
        <f t="shared" si="2"/>
        <v>1</v>
      </c>
      <c r="BJ9">
        <f t="shared" si="2"/>
        <v>1</v>
      </c>
    </row>
    <row r="10" spans="1:62" x14ac:dyDescent="0.2">
      <c r="B10" t="s">
        <v>77</v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>
        <f t="shared" ref="H10:BJ10" si="3">G10</f>
        <v>0</v>
      </c>
      <c r="I10">
        <f t="shared" si="3"/>
        <v>0</v>
      </c>
      <c r="J10">
        <f t="shared" si="3"/>
        <v>0</v>
      </c>
      <c r="K10">
        <f t="shared" si="3"/>
        <v>0</v>
      </c>
      <c r="L10">
        <f t="shared" si="3"/>
        <v>0</v>
      </c>
      <c r="M10">
        <f t="shared" si="3"/>
        <v>0</v>
      </c>
      <c r="N10">
        <f t="shared" si="3"/>
        <v>0</v>
      </c>
      <c r="O10">
        <f t="shared" si="3"/>
        <v>0</v>
      </c>
      <c r="P10">
        <f t="shared" si="3"/>
        <v>0</v>
      </c>
      <c r="Q10">
        <f t="shared" si="3"/>
        <v>0</v>
      </c>
      <c r="R10">
        <f t="shared" si="3"/>
        <v>0</v>
      </c>
      <c r="S10">
        <f t="shared" si="3"/>
        <v>0</v>
      </c>
      <c r="T10">
        <f t="shared" si="3"/>
        <v>0</v>
      </c>
      <c r="U10">
        <f t="shared" si="3"/>
        <v>0</v>
      </c>
      <c r="V10">
        <f t="shared" si="3"/>
        <v>0</v>
      </c>
      <c r="W10">
        <f t="shared" si="3"/>
        <v>0</v>
      </c>
      <c r="X10">
        <f t="shared" si="3"/>
        <v>0</v>
      </c>
      <c r="Y10">
        <f t="shared" si="3"/>
        <v>0</v>
      </c>
      <c r="Z10">
        <f t="shared" si="3"/>
        <v>0</v>
      </c>
      <c r="AA10">
        <f t="shared" si="3"/>
        <v>0</v>
      </c>
      <c r="AB10">
        <f t="shared" si="3"/>
        <v>0</v>
      </c>
      <c r="AC10">
        <f t="shared" si="3"/>
        <v>0</v>
      </c>
      <c r="AD10">
        <f t="shared" si="3"/>
        <v>0</v>
      </c>
      <c r="AE10">
        <f t="shared" si="3"/>
        <v>0</v>
      </c>
      <c r="AF10">
        <f t="shared" si="3"/>
        <v>0</v>
      </c>
      <c r="AG10">
        <f t="shared" si="3"/>
        <v>0</v>
      </c>
      <c r="AH10">
        <f t="shared" si="3"/>
        <v>0</v>
      </c>
      <c r="AI10">
        <f t="shared" si="3"/>
        <v>0</v>
      </c>
      <c r="AJ10">
        <f t="shared" si="3"/>
        <v>0</v>
      </c>
      <c r="AK10">
        <f t="shared" si="3"/>
        <v>0</v>
      </c>
      <c r="AL10">
        <f t="shared" si="3"/>
        <v>0</v>
      </c>
      <c r="AM10">
        <f t="shared" si="3"/>
        <v>0</v>
      </c>
      <c r="AN10">
        <f t="shared" si="3"/>
        <v>0</v>
      </c>
      <c r="AO10">
        <f t="shared" si="3"/>
        <v>0</v>
      </c>
      <c r="AP10">
        <f t="shared" si="3"/>
        <v>0</v>
      </c>
      <c r="AQ10">
        <f t="shared" si="3"/>
        <v>0</v>
      </c>
      <c r="AR10">
        <f t="shared" si="3"/>
        <v>0</v>
      </c>
      <c r="AS10">
        <f t="shared" si="3"/>
        <v>0</v>
      </c>
      <c r="AT10">
        <f t="shared" si="3"/>
        <v>0</v>
      </c>
      <c r="AU10">
        <f t="shared" si="3"/>
        <v>0</v>
      </c>
      <c r="AV10">
        <f t="shared" si="3"/>
        <v>0</v>
      </c>
      <c r="AW10">
        <f t="shared" si="3"/>
        <v>0</v>
      </c>
      <c r="AX10">
        <f t="shared" si="3"/>
        <v>0</v>
      </c>
      <c r="AY10">
        <f t="shared" si="3"/>
        <v>0</v>
      </c>
      <c r="AZ10">
        <f t="shared" si="3"/>
        <v>0</v>
      </c>
      <c r="BA10">
        <f t="shared" si="3"/>
        <v>0</v>
      </c>
      <c r="BB10">
        <f t="shared" si="3"/>
        <v>0</v>
      </c>
      <c r="BC10">
        <f t="shared" si="3"/>
        <v>0</v>
      </c>
      <c r="BD10">
        <f t="shared" si="3"/>
        <v>0</v>
      </c>
      <c r="BE10">
        <f t="shared" si="3"/>
        <v>0</v>
      </c>
      <c r="BF10">
        <f t="shared" si="3"/>
        <v>0</v>
      </c>
      <c r="BG10">
        <f t="shared" si="3"/>
        <v>0</v>
      </c>
      <c r="BH10">
        <f t="shared" si="3"/>
        <v>0</v>
      </c>
      <c r="BI10">
        <f t="shared" si="3"/>
        <v>0</v>
      </c>
      <c r="BJ10">
        <f t="shared" si="3"/>
        <v>0</v>
      </c>
    </row>
    <row r="11" spans="1:62" x14ac:dyDescent="0.2">
      <c r="C11" s="65"/>
      <c r="D11" s="65"/>
      <c r="E11" s="65"/>
      <c r="F11" s="65"/>
      <c r="G11" s="65"/>
    </row>
    <row r="12" spans="1:62" x14ac:dyDescent="0.2">
      <c r="B12" t="s">
        <v>78</v>
      </c>
      <c r="C12" s="65">
        <v>0</v>
      </c>
      <c r="D12" s="65">
        <v>0</v>
      </c>
      <c r="E12" s="65">
        <v>1</v>
      </c>
      <c r="F12" s="65">
        <v>1</v>
      </c>
      <c r="G12" s="65">
        <v>1</v>
      </c>
      <c r="H12">
        <f t="shared" ref="H12:S12" si="4">G12</f>
        <v>1</v>
      </c>
      <c r="I12">
        <f t="shared" si="4"/>
        <v>1</v>
      </c>
      <c r="J12">
        <f t="shared" si="4"/>
        <v>1</v>
      </c>
      <c r="K12">
        <f t="shared" si="4"/>
        <v>1</v>
      </c>
      <c r="L12">
        <f t="shared" si="4"/>
        <v>1</v>
      </c>
      <c r="M12">
        <f t="shared" si="4"/>
        <v>1</v>
      </c>
      <c r="N12">
        <f t="shared" si="4"/>
        <v>1</v>
      </c>
      <c r="O12">
        <f t="shared" si="4"/>
        <v>1</v>
      </c>
      <c r="P12">
        <f t="shared" si="4"/>
        <v>1</v>
      </c>
      <c r="Q12">
        <f t="shared" si="4"/>
        <v>1</v>
      </c>
      <c r="R12">
        <f t="shared" si="4"/>
        <v>1</v>
      </c>
      <c r="S12">
        <f t="shared" si="4"/>
        <v>1</v>
      </c>
      <c r="T12">
        <f t="shared" ref="T12:BJ12" si="5">S12</f>
        <v>1</v>
      </c>
      <c r="U12">
        <f t="shared" si="5"/>
        <v>1</v>
      </c>
      <c r="V12">
        <f t="shared" si="5"/>
        <v>1</v>
      </c>
      <c r="W12">
        <f t="shared" si="5"/>
        <v>1</v>
      </c>
      <c r="X12">
        <f t="shared" si="5"/>
        <v>1</v>
      </c>
      <c r="Y12">
        <f t="shared" si="5"/>
        <v>1</v>
      </c>
      <c r="Z12">
        <f t="shared" si="5"/>
        <v>1</v>
      </c>
      <c r="AA12">
        <f t="shared" si="5"/>
        <v>1</v>
      </c>
      <c r="AB12">
        <f t="shared" si="5"/>
        <v>1</v>
      </c>
      <c r="AC12">
        <f t="shared" si="5"/>
        <v>1</v>
      </c>
      <c r="AD12">
        <f t="shared" si="5"/>
        <v>1</v>
      </c>
      <c r="AE12">
        <f t="shared" si="5"/>
        <v>1</v>
      </c>
      <c r="AF12">
        <f t="shared" si="5"/>
        <v>1</v>
      </c>
      <c r="AG12">
        <f t="shared" si="5"/>
        <v>1</v>
      </c>
      <c r="AH12">
        <f t="shared" si="5"/>
        <v>1</v>
      </c>
      <c r="AI12">
        <f t="shared" si="5"/>
        <v>1</v>
      </c>
      <c r="AJ12">
        <f t="shared" si="5"/>
        <v>1</v>
      </c>
      <c r="AK12">
        <f t="shared" si="5"/>
        <v>1</v>
      </c>
      <c r="AL12">
        <f t="shared" si="5"/>
        <v>1</v>
      </c>
      <c r="AM12">
        <f t="shared" si="5"/>
        <v>1</v>
      </c>
      <c r="AN12">
        <f t="shared" si="5"/>
        <v>1</v>
      </c>
      <c r="AO12">
        <f t="shared" si="5"/>
        <v>1</v>
      </c>
      <c r="AP12">
        <f t="shared" si="5"/>
        <v>1</v>
      </c>
      <c r="AQ12">
        <f t="shared" si="5"/>
        <v>1</v>
      </c>
      <c r="AR12">
        <f t="shared" si="5"/>
        <v>1</v>
      </c>
      <c r="AS12">
        <f t="shared" si="5"/>
        <v>1</v>
      </c>
      <c r="AT12">
        <f t="shared" si="5"/>
        <v>1</v>
      </c>
      <c r="AU12">
        <f t="shared" si="5"/>
        <v>1</v>
      </c>
      <c r="AV12">
        <f t="shared" si="5"/>
        <v>1</v>
      </c>
      <c r="AW12">
        <f t="shared" si="5"/>
        <v>1</v>
      </c>
      <c r="AX12">
        <f t="shared" si="5"/>
        <v>1</v>
      </c>
      <c r="AY12">
        <f t="shared" si="5"/>
        <v>1</v>
      </c>
      <c r="AZ12">
        <f t="shared" si="5"/>
        <v>1</v>
      </c>
      <c r="BA12">
        <f t="shared" si="5"/>
        <v>1</v>
      </c>
      <c r="BB12">
        <f t="shared" si="5"/>
        <v>1</v>
      </c>
      <c r="BC12">
        <f t="shared" si="5"/>
        <v>1</v>
      </c>
      <c r="BD12">
        <f t="shared" si="5"/>
        <v>1</v>
      </c>
      <c r="BE12">
        <f t="shared" si="5"/>
        <v>1</v>
      </c>
      <c r="BF12">
        <f t="shared" si="5"/>
        <v>1</v>
      </c>
      <c r="BG12">
        <f t="shared" si="5"/>
        <v>1</v>
      </c>
      <c r="BH12">
        <f t="shared" si="5"/>
        <v>1</v>
      </c>
      <c r="BI12">
        <f t="shared" si="5"/>
        <v>1</v>
      </c>
      <c r="BJ12">
        <f t="shared" si="5"/>
        <v>1</v>
      </c>
    </row>
    <row r="13" spans="1:62" x14ac:dyDescent="0.2">
      <c r="B13" t="s">
        <v>79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6">
        <f>ROUND(('Sales Detail'!H13+'Sales Detail'!H23)/OrdersPerWarehouseHelpPerson,0)</f>
        <v>0</v>
      </c>
      <c r="I13" s="6">
        <f>ROUND(('Sales Detail'!I13+'Sales Detail'!I23)/OrdersPerWarehouseHelpPerson,0)</f>
        <v>0</v>
      </c>
      <c r="J13" s="6">
        <f>ROUND(('Sales Detail'!J13+'Sales Detail'!J23)/OrdersPerWarehouseHelpPerson,0)</f>
        <v>0</v>
      </c>
      <c r="K13" s="6">
        <f>ROUND(('Sales Detail'!K13+'Sales Detail'!K23)/OrdersPerWarehouseHelpPerson,0)</f>
        <v>0</v>
      </c>
      <c r="L13" s="6">
        <f>ROUND(('Sales Detail'!L13+'Sales Detail'!L23)/OrdersPerWarehouseHelpPerson,0)</f>
        <v>0</v>
      </c>
      <c r="M13" s="6">
        <f>ROUND(('Sales Detail'!M13+'Sales Detail'!M23)/OrdersPerWarehouseHelpPerson,0)</f>
        <v>0</v>
      </c>
      <c r="N13" s="6">
        <f>ROUND(('Sales Detail'!N13+'Sales Detail'!N23)/OrdersPerWarehouseHelpPerson,0)</f>
        <v>0</v>
      </c>
      <c r="O13" s="6">
        <f>ROUND(('Sales Detail'!O13+'Sales Detail'!O23)/OrdersPerWarehouseHelpPerson,0)</f>
        <v>0</v>
      </c>
      <c r="P13" s="6">
        <f>ROUND(('Sales Detail'!P13+'Sales Detail'!P23)/OrdersPerWarehouseHelpPerson,0)</f>
        <v>0</v>
      </c>
      <c r="Q13" s="6">
        <f>ROUND(('Sales Detail'!Q13+'Sales Detail'!Q23)/OrdersPerWarehouseHelpPerson,0)</f>
        <v>0</v>
      </c>
      <c r="R13" s="6">
        <f>ROUND(('Sales Detail'!R13+'Sales Detail'!R23)/OrdersPerWarehouseHelpPerson,0)</f>
        <v>0</v>
      </c>
      <c r="S13" s="6">
        <f>ROUND(('Sales Detail'!S13+'Sales Detail'!S23)/OrdersPerWarehouseHelpPerson,0)</f>
        <v>0</v>
      </c>
      <c r="T13" s="6">
        <f>ROUND(('Sales Detail'!T13+'Sales Detail'!T23)/OrdersPerWarehouseHelpPerson,0)</f>
        <v>0</v>
      </c>
      <c r="U13" s="6">
        <f>ROUND(('Sales Detail'!U13+'Sales Detail'!U23)/OrdersPerWarehouseHelpPerson,0)</f>
        <v>0</v>
      </c>
      <c r="V13" s="6">
        <f>ROUND(('Sales Detail'!V13+'Sales Detail'!V23)/OrdersPerWarehouseHelpPerson,0)</f>
        <v>0</v>
      </c>
      <c r="W13" s="6">
        <f>ROUND(('Sales Detail'!W13+'Sales Detail'!W23)/OrdersPerWarehouseHelpPerson,0)</f>
        <v>0</v>
      </c>
      <c r="X13" s="6">
        <f>ROUND(('Sales Detail'!X13+'Sales Detail'!X23)/OrdersPerWarehouseHelpPerson,0)</f>
        <v>1</v>
      </c>
      <c r="Y13" s="6">
        <f>ROUND(('Sales Detail'!Y13+'Sales Detail'!Y23)/OrdersPerWarehouseHelpPerson,0)</f>
        <v>1</v>
      </c>
      <c r="Z13" s="6">
        <f>ROUND(('Sales Detail'!Z13+'Sales Detail'!Z23)/OrdersPerWarehouseHelpPerson,0)</f>
        <v>1</v>
      </c>
      <c r="AA13" s="6">
        <f>ROUND(('Sales Detail'!AA13+'Sales Detail'!AA23)/OrdersPerWarehouseHelpPerson,0)</f>
        <v>1</v>
      </c>
      <c r="AB13" s="6">
        <f>ROUND(('Sales Detail'!AB13+'Sales Detail'!AB23)/OrdersPerWarehouseHelpPerson,0)</f>
        <v>1</v>
      </c>
      <c r="AC13" s="6">
        <f>ROUND(('Sales Detail'!AC13+'Sales Detail'!AC23)/OrdersPerWarehouseHelpPerson,0)</f>
        <v>1</v>
      </c>
      <c r="AD13" s="6">
        <f>ROUND(('Sales Detail'!AD13+'Sales Detail'!AD23)/OrdersPerWarehouseHelpPerson,0)</f>
        <v>1</v>
      </c>
      <c r="AE13" s="6">
        <f>ROUND(('Sales Detail'!AE13+'Sales Detail'!AE23)/OrdersPerWarehouseHelpPerson,0)</f>
        <v>1</v>
      </c>
      <c r="AF13" s="6">
        <f>ROUND(('Sales Detail'!AF13+'Sales Detail'!AF23)/OrdersPerWarehouseHelpPerson,0)</f>
        <v>1</v>
      </c>
      <c r="AG13" s="6">
        <f>ROUND(('Sales Detail'!AG13+'Sales Detail'!AG23)/OrdersPerWarehouseHelpPerson,0)</f>
        <v>1</v>
      </c>
      <c r="AH13" s="6">
        <f>ROUND(('Sales Detail'!AH13+'Sales Detail'!AH23)/OrdersPerWarehouseHelpPerson,0)</f>
        <v>1</v>
      </c>
      <c r="AI13" s="6">
        <f>ROUND(('Sales Detail'!AI13+'Sales Detail'!AI23)/OrdersPerWarehouseHelpPerson,0)</f>
        <v>1</v>
      </c>
      <c r="AJ13" s="6">
        <f>ROUND(('Sales Detail'!AJ13+'Sales Detail'!AJ23)/OrdersPerWarehouseHelpPerson,0)</f>
        <v>1</v>
      </c>
      <c r="AK13" s="6">
        <f>ROUND(('Sales Detail'!AK13+'Sales Detail'!AK23)/OrdersPerWarehouseHelpPerson,0)</f>
        <v>1</v>
      </c>
      <c r="AL13" s="6">
        <f>ROUND(('Sales Detail'!AL13+'Sales Detail'!AL23)/OrdersPerWarehouseHelpPerson,0)</f>
        <v>1</v>
      </c>
      <c r="AM13" s="6">
        <f>ROUND(('Sales Detail'!AM13+'Sales Detail'!AM23)/OrdersPerWarehouseHelpPerson,0)</f>
        <v>1</v>
      </c>
      <c r="AN13" s="6">
        <f>ROUND(('Sales Detail'!AN13+'Sales Detail'!AN23)/OrdersPerWarehouseHelpPerson,0)</f>
        <v>1</v>
      </c>
      <c r="AO13" s="6">
        <f>ROUND(('Sales Detail'!AO13+'Sales Detail'!AO23)/OrdersPerWarehouseHelpPerson,0)</f>
        <v>1</v>
      </c>
      <c r="AP13" s="6">
        <f>ROUND(('Sales Detail'!AP13+'Sales Detail'!AP23)/OrdersPerWarehouseHelpPerson,0)</f>
        <v>1</v>
      </c>
      <c r="AQ13" s="6">
        <f>ROUND(('Sales Detail'!AQ13+'Sales Detail'!AQ23)/OrdersPerWarehouseHelpPerson,0)</f>
        <v>1</v>
      </c>
      <c r="AR13" s="6">
        <f>ROUND(('Sales Detail'!AR13+'Sales Detail'!AR23)/OrdersPerWarehouseHelpPerson,0)</f>
        <v>1</v>
      </c>
      <c r="AS13" s="6">
        <f>ROUND(('Sales Detail'!AS13+'Sales Detail'!AS23)/OrdersPerWarehouseHelpPerson,0)</f>
        <v>1</v>
      </c>
      <c r="AT13" s="6">
        <f>ROUND(('Sales Detail'!AT13+'Sales Detail'!AT23)/OrdersPerWarehouseHelpPerson,0)</f>
        <v>1</v>
      </c>
      <c r="AU13" s="6">
        <f>ROUND(('Sales Detail'!AU13+'Sales Detail'!AU23)/OrdersPerWarehouseHelpPerson,0)</f>
        <v>1</v>
      </c>
      <c r="AV13" s="6">
        <f>ROUND(('Sales Detail'!AV13+'Sales Detail'!AV23)/OrdersPerWarehouseHelpPerson,0)</f>
        <v>1</v>
      </c>
      <c r="AW13" s="6">
        <f>ROUND(('Sales Detail'!AW13+'Sales Detail'!AW23)/OrdersPerWarehouseHelpPerson,0)</f>
        <v>1</v>
      </c>
      <c r="AX13" s="6">
        <f>ROUND(('Sales Detail'!AX13+'Sales Detail'!AX23)/OrdersPerWarehouseHelpPerson,0)</f>
        <v>1</v>
      </c>
      <c r="AY13" s="6">
        <f>ROUND(('Sales Detail'!AY13+'Sales Detail'!AY23)/OrdersPerWarehouseHelpPerson,0)</f>
        <v>1</v>
      </c>
      <c r="AZ13" s="6">
        <f>ROUND(('Sales Detail'!AZ13+'Sales Detail'!AZ23)/OrdersPerWarehouseHelpPerson,0)</f>
        <v>1</v>
      </c>
      <c r="BA13" s="6">
        <f>ROUND(('Sales Detail'!BA13+'Sales Detail'!BA23)/OrdersPerWarehouseHelpPerson,0)</f>
        <v>1</v>
      </c>
      <c r="BB13" s="6">
        <f>ROUND(('Sales Detail'!BB13+'Sales Detail'!BB23)/OrdersPerWarehouseHelpPerson,0)</f>
        <v>1</v>
      </c>
      <c r="BC13" s="6">
        <f>ROUND(('Sales Detail'!BC13+'Sales Detail'!BC23)/OrdersPerWarehouseHelpPerson,0)</f>
        <v>1</v>
      </c>
      <c r="BD13" s="6">
        <f>ROUND(('Sales Detail'!BD13+'Sales Detail'!BD23)/OrdersPerWarehouseHelpPerson,0)</f>
        <v>1</v>
      </c>
      <c r="BE13" s="6">
        <f>ROUND(('Sales Detail'!BE13+'Sales Detail'!BE23)/OrdersPerWarehouseHelpPerson,0)</f>
        <v>2</v>
      </c>
      <c r="BF13" s="6">
        <f>ROUND(('Sales Detail'!BF13+'Sales Detail'!BF23)/OrdersPerWarehouseHelpPerson,0)</f>
        <v>2</v>
      </c>
      <c r="BG13" s="6">
        <f>ROUND(('Sales Detail'!BG13+'Sales Detail'!BG23)/OrdersPerWarehouseHelpPerson,0)</f>
        <v>2</v>
      </c>
      <c r="BH13" s="6">
        <f>ROUND(('Sales Detail'!BH13+'Sales Detail'!BH23)/OrdersPerWarehouseHelpPerson,0)</f>
        <v>2</v>
      </c>
      <c r="BI13" s="6">
        <f>ROUND(('Sales Detail'!BI13+'Sales Detail'!BI23)/OrdersPerWarehouseHelpPerson,0)</f>
        <v>2</v>
      </c>
      <c r="BJ13" s="6">
        <f>ROUND(('Sales Detail'!BJ13+'Sales Detail'!BJ23)/OrdersPerWarehouseHelpPerson,0)</f>
        <v>2</v>
      </c>
    </row>
    <row r="14" spans="1:62" s="3" customFormat="1" x14ac:dyDescent="0.2">
      <c r="B14" s="9" t="s">
        <v>85</v>
      </c>
      <c r="C14" s="77">
        <v>4</v>
      </c>
      <c r="D14" s="77">
        <v>4</v>
      </c>
      <c r="E14" s="77">
        <v>6</v>
      </c>
      <c r="F14" s="77">
        <v>7</v>
      </c>
      <c r="G14" s="77">
        <v>7</v>
      </c>
      <c r="H14" s="18">
        <f t="shared" ref="H14:BJ14" si="6">SUM(H4:H13)</f>
        <v>7</v>
      </c>
      <c r="I14" s="18">
        <f t="shared" si="6"/>
        <v>7</v>
      </c>
      <c r="J14" s="18">
        <f t="shared" si="6"/>
        <v>7</v>
      </c>
      <c r="K14" s="18">
        <f t="shared" si="6"/>
        <v>7</v>
      </c>
      <c r="L14" s="18">
        <f t="shared" si="6"/>
        <v>7</v>
      </c>
      <c r="M14" s="18">
        <f t="shared" si="6"/>
        <v>7</v>
      </c>
      <c r="N14" s="18">
        <f t="shared" si="6"/>
        <v>7</v>
      </c>
      <c r="O14" s="18">
        <f t="shared" si="6"/>
        <v>8</v>
      </c>
      <c r="P14" s="18">
        <f t="shared" si="6"/>
        <v>8</v>
      </c>
      <c r="Q14" s="18">
        <f t="shared" si="6"/>
        <v>8</v>
      </c>
      <c r="R14" s="18">
        <f t="shared" si="6"/>
        <v>8</v>
      </c>
      <c r="S14" s="18">
        <f t="shared" si="6"/>
        <v>8</v>
      </c>
      <c r="T14" s="18">
        <f t="shared" si="6"/>
        <v>8</v>
      </c>
      <c r="U14" s="18">
        <f t="shared" si="6"/>
        <v>8</v>
      </c>
      <c r="V14" s="18">
        <f t="shared" si="6"/>
        <v>8</v>
      </c>
      <c r="W14" s="18">
        <f t="shared" si="6"/>
        <v>8</v>
      </c>
      <c r="X14" s="18">
        <f t="shared" si="6"/>
        <v>9</v>
      </c>
      <c r="Y14" s="18">
        <f t="shared" si="6"/>
        <v>9</v>
      </c>
      <c r="Z14" s="18">
        <f t="shared" si="6"/>
        <v>9</v>
      </c>
      <c r="AA14" s="18">
        <f t="shared" si="6"/>
        <v>9</v>
      </c>
      <c r="AB14" s="18">
        <f t="shared" si="6"/>
        <v>9</v>
      </c>
      <c r="AC14" s="18">
        <f t="shared" si="6"/>
        <v>9</v>
      </c>
      <c r="AD14" s="18">
        <f t="shared" si="6"/>
        <v>9</v>
      </c>
      <c r="AE14" s="18">
        <f t="shared" si="6"/>
        <v>9</v>
      </c>
      <c r="AF14" s="18">
        <f t="shared" si="6"/>
        <v>9</v>
      </c>
      <c r="AG14" s="18">
        <f t="shared" si="6"/>
        <v>9</v>
      </c>
      <c r="AH14" s="18">
        <f t="shared" si="6"/>
        <v>9</v>
      </c>
      <c r="AI14" s="18">
        <f t="shared" si="6"/>
        <v>9</v>
      </c>
      <c r="AJ14" s="18">
        <f t="shared" si="6"/>
        <v>9</v>
      </c>
      <c r="AK14" s="18">
        <f t="shared" si="6"/>
        <v>9</v>
      </c>
      <c r="AL14" s="18">
        <f t="shared" si="6"/>
        <v>9</v>
      </c>
      <c r="AM14" s="18">
        <f t="shared" si="6"/>
        <v>9</v>
      </c>
      <c r="AN14" s="18">
        <f t="shared" si="6"/>
        <v>9</v>
      </c>
      <c r="AO14" s="18">
        <f t="shared" si="6"/>
        <v>9</v>
      </c>
      <c r="AP14" s="18">
        <f t="shared" si="6"/>
        <v>9</v>
      </c>
      <c r="AQ14" s="18">
        <f t="shared" si="6"/>
        <v>9</v>
      </c>
      <c r="AR14" s="18">
        <f t="shared" si="6"/>
        <v>9</v>
      </c>
      <c r="AS14" s="18">
        <f t="shared" si="6"/>
        <v>9</v>
      </c>
      <c r="AT14" s="18">
        <f t="shared" si="6"/>
        <v>9</v>
      </c>
      <c r="AU14" s="18">
        <f t="shared" si="6"/>
        <v>9</v>
      </c>
      <c r="AV14" s="18">
        <f t="shared" si="6"/>
        <v>9</v>
      </c>
      <c r="AW14" s="18">
        <f t="shared" si="6"/>
        <v>9</v>
      </c>
      <c r="AX14" s="18">
        <f t="shared" si="6"/>
        <v>9</v>
      </c>
      <c r="AY14" s="18">
        <f t="shared" si="6"/>
        <v>9</v>
      </c>
      <c r="AZ14" s="18">
        <f t="shared" si="6"/>
        <v>9</v>
      </c>
      <c r="BA14" s="18">
        <f t="shared" si="6"/>
        <v>9</v>
      </c>
      <c r="BB14" s="18">
        <f t="shared" si="6"/>
        <v>9</v>
      </c>
      <c r="BC14" s="18">
        <f t="shared" si="6"/>
        <v>9</v>
      </c>
      <c r="BD14" s="18">
        <f t="shared" si="6"/>
        <v>9</v>
      </c>
      <c r="BE14" s="18">
        <f t="shared" si="6"/>
        <v>10</v>
      </c>
      <c r="BF14" s="18">
        <f t="shared" si="6"/>
        <v>10</v>
      </c>
      <c r="BG14" s="18">
        <f t="shared" si="6"/>
        <v>10</v>
      </c>
      <c r="BH14" s="18">
        <f t="shared" si="6"/>
        <v>10</v>
      </c>
      <c r="BI14" s="18">
        <f t="shared" si="6"/>
        <v>10</v>
      </c>
      <c r="BJ14" s="18">
        <f t="shared" si="6"/>
        <v>10</v>
      </c>
    </row>
    <row r="15" spans="1:62" x14ac:dyDescent="0.2">
      <c r="C15" s="65"/>
      <c r="D15" s="65"/>
      <c r="E15" s="65"/>
      <c r="F15" s="65"/>
      <c r="G15" s="65"/>
    </row>
    <row r="16" spans="1:62" x14ac:dyDescent="0.2">
      <c r="C16" s="65"/>
      <c r="D16" s="65"/>
      <c r="E16" s="65"/>
      <c r="F16" s="65"/>
      <c r="G16" s="65"/>
    </row>
    <row r="17" spans="1:62" x14ac:dyDescent="0.2">
      <c r="A17" s="5">
        <v>75000</v>
      </c>
      <c r="B17" t="s">
        <v>72</v>
      </c>
      <c r="C17" s="66">
        <v>6250</v>
      </c>
      <c r="D17" s="66">
        <v>6250</v>
      </c>
      <c r="E17" s="66">
        <v>6250</v>
      </c>
      <c r="F17" s="66">
        <v>6250</v>
      </c>
      <c r="G17" s="66">
        <v>6250</v>
      </c>
      <c r="H17" s="14">
        <f t="shared" ref="H17:AH17" si="7">H4*$A17/12</f>
        <v>6250</v>
      </c>
      <c r="I17" s="14">
        <f t="shared" si="7"/>
        <v>6250</v>
      </c>
      <c r="J17" s="14">
        <f t="shared" si="7"/>
        <v>6250</v>
      </c>
      <c r="K17" s="14">
        <f t="shared" si="7"/>
        <v>6250</v>
      </c>
      <c r="L17" s="14">
        <f t="shared" si="7"/>
        <v>6250</v>
      </c>
      <c r="M17" s="14">
        <f t="shared" si="7"/>
        <v>6250</v>
      </c>
      <c r="N17" s="14">
        <f t="shared" si="7"/>
        <v>6250</v>
      </c>
      <c r="O17" s="14">
        <f t="shared" si="7"/>
        <v>6250</v>
      </c>
      <c r="P17" s="14">
        <f t="shared" si="7"/>
        <v>6250</v>
      </c>
      <c r="Q17" s="14">
        <f t="shared" si="7"/>
        <v>6250</v>
      </c>
      <c r="R17" s="14">
        <f t="shared" si="7"/>
        <v>6250</v>
      </c>
      <c r="S17" s="14">
        <f t="shared" si="7"/>
        <v>6250</v>
      </c>
      <c r="T17" s="14">
        <f t="shared" si="7"/>
        <v>6250</v>
      </c>
      <c r="U17" s="14">
        <f t="shared" si="7"/>
        <v>6250</v>
      </c>
      <c r="V17" s="14">
        <f t="shared" si="7"/>
        <v>6250</v>
      </c>
      <c r="W17" s="14">
        <f t="shared" si="7"/>
        <v>6250</v>
      </c>
      <c r="X17" s="14">
        <f t="shared" si="7"/>
        <v>6250</v>
      </c>
      <c r="Y17" s="14">
        <f t="shared" si="7"/>
        <v>6250</v>
      </c>
      <c r="Z17" s="14">
        <f t="shared" si="7"/>
        <v>6250</v>
      </c>
      <c r="AA17" s="14">
        <f t="shared" si="7"/>
        <v>6250</v>
      </c>
      <c r="AB17" s="14">
        <f t="shared" si="7"/>
        <v>6250</v>
      </c>
      <c r="AC17" s="14">
        <f t="shared" si="7"/>
        <v>6250</v>
      </c>
      <c r="AD17" s="14">
        <f t="shared" si="7"/>
        <v>6250</v>
      </c>
      <c r="AE17" s="14">
        <f t="shared" si="7"/>
        <v>6250</v>
      </c>
      <c r="AF17" s="14">
        <f t="shared" si="7"/>
        <v>6250</v>
      </c>
      <c r="AG17" s="14">
        <f t="shared" si="7"/>
        <v>6250</v>
      </c>
      <c r="AH17" s="14">
        <f t="shared" si="7"/>
        <v>6250</v>
      </c>
      <c r="AI17" s="14">
        <f t="shared" ref="AI17:BJ17" si="8">AI4*$A17/12</f>
        <v>6250</v>
      </c>
      <c r="AJ17" s="14">
        <f t="shared" si="8"/>
        <v>6250</v>
      </c>
      <c r="AK17" s="14">
        <f t="shared" si="8"/>
        <v>6250</v>
      </c>
      <c r="AL17" s="14">
        <f t="shared" si="8"/>
        <v>6250</v>
      </c>
      <c r="AM17" s="14">
        <f t="shared" si="8"/>
        <v>6250</v>
      </c>
      <c r="AN17" s="14">
        <f t="shared" si="8"/>
        <v>6250</v>
      </c>
      <c r="AO17" s="14">
        <f t="shared" si="8"/>
        <v>6250</v>
      </c>
      <c r="AP17" s="14">
        <f t="shared" si="8"/>
        <v>6250</v>
      </c>
      <c r="AQ17" s="14">
        <f t="shared" si="8"/>
        <v>6250</v>
      </c>
      <c r="AR17" s="14">
        <f t="shared" si="8"/>
        <v>6250</v>
      </c>
      <c r="AS17" s="14">
        <f t="shared" si="8"/>
        <v>6250</v>
      </c>
      <c r="AT17" s="14">
        <f t="shared" si="8"/>
        <v>6250</v>
      </c>
      <c r="AU17" s="14">
        <f t="shared" si="8"/>
        <v>6250</v>
      </c>
      <c r="AV17" s="14">
        <f t="shared" si="8"/>
        <v>6250</v>
      </c>
      <c r="AW17" s="14">
        <f t="shared" si="8"/>
        <v>6250</v>
      </c>
      <c r="AX17" s="14">
        <f t="shared" si="8"/>
        <v>6250</v>
      </c>
      <c r="AY17" s="14">
        <f t="shared" si="8"/>
        <v>6250</v>
      </c>
      <c r="AZ17" s="14">
        <f t="shared" si="8"/>
        <v>6250</v>
      </c>
      <c r="BA17" s="14">
        <f t="shared" si="8"/>
        <v>6250</v>
      </c>
      <c r="BB17" s="14">
        <f t="shared" si="8"/>
        <v>6250</v>
      </c>
      <c r="BC17" s="14">
        <f t="shared" si="8"/>
        <v>6250</v>
      </c>
      <c r="BD17" s="14">
        <f t="shared" si="8"/>
        <v>6250</v>
      </c>
      <c r="BE17" s="14">
        <f t="shared" si="8"/>
        <v>6250</v>
      </c>
      <c r="BF17" s="14">
        <f t="shared" si="8"/>
        <v>6250</v>
      </c>
      <c r="BG17" s="14">
        <f t="shared" si="8"/>
        <v>6250</v>
      </c>
      <c r="BH17" s="14">
        <f t="shared" si="8"/>
        <v>6250</v>
      </c>
      <c r="BI17" s="14">
        <f t="shared" si="8"/>
        <v>6250</v>
      </c>
      <c r="BJ17" s="14">
        <f t="shared" si="8"/>
        <v>6250</v>
      </c>
    </row>
    <row r="18" spans="1:62" x14ac:dyDescent="0.2">
      <c r="A18" s="5">
        <v>75000</v>
      </c>
      <c r="B18" t="s">
        <v>73</v>
      </c>
      <c r="C18" s="66">
        <v>6250</v>
      </c>
      <c r="D18" s="66">
        <v>6250</v>
      </c>
      <c r="E18" s="66">
        <v>6250</v>
      </c>
      <c r="F18" s="66">
        <v>6250</v>
      </c>
      <c r="G18" s="66">
        <v>6250</v>
      </c>
      <c r="H18" s="14">
        <f t="shared" ref="H18:AH18" si="9">H5*$A18/12</f>
        <v>6250</v>
      </c>
      <c r="I18" s="14">
        <f t="shared" si="9"/>
        <v>6250</v>
      </c>
      <c r="J18" s="14">
        <f t="shared" si="9"/>
        <v>6250</v>
      </c>
      <c r="K18" s="14">
        <f t="shared" si="9"/>
        <v>6250</v>
      </c>
      <c r="L18" s="14">
        <f t="shared" si="9"/>
        <v>6250</v>
      </c>
      <c r="M18" s="14">
        <f t="shared" si="9"/>
        <v>6250</v>
      </c>
      <c r="N18" s="14">
        <f t="shared" si="9"/>
        <v>6250</v>
      </c>
      <c r="O18" s="14">
        <f t="shared" si="9"/>
        <v>6250</v>
      </c>
      <c r="P18" s="14">
        <f t="shared" si="9"/>
        <v>6250</v>
      </c>
      <c r="Q18" s="14">
        <f t="shared" si="9"/>
        <v>6250</v>
      </c>
      <c r="R18" s="14">
        <f t="shared" si="9"/>
        <v>6250</v>
      </c>
      <c r="S18" s="14">
        <f t="shared" si="9"/>
        <v>6250</v>
      </c>
      <c r="T18" s="14">
        <f t="shared" si="9"/>
        <v>6250</v>
      </c>
      <c r="U18" s="14">
        <f t="shared" si="9"/>
        <v>6250</v>
      </c>
      <c r="V18" s="14">
        <f t="shared" si="9"/>
        <v>6250</v>
      </c>
      <c r="W18" s="14">
        <f t="shared" si="9"/>
        <v>6250</v>
      </c>
      <c r="X18" s="14">
        <f t="shared" si="9"/>
        <v>6250</v>
      </c>
      <c r="Y18" s="14">
        <f t="shared" si="9"/>
        <v>6250</v>
      </c>
      <c r="Z18" s="14">
        <f t="shared" si="9"/>
        <v>6250</v>
      </c>
      <c r="AA18" s="14">
        <f t="shared" si="9"/>
        <v>6250</v>
      </c>
      <c r="AB18" s="14">
        <f t="shared" si="9"/>
        <v>6250</v>
      </c>
      <c r="AC18" s="14">
        <f t="shared" si="9"/>
        <v>6250</v>
      </c>
      <c r="AD18" s="14">
        <f t="shared" si="9"/>
        <v>6250</v>
      </c>
      <c r="AE18" s="14">
        <f t="shared" si="9"/>
        <v>6250</v>
      </c>
      <c r="AF18" s="14">
        <f t="shared" si="9"/>
        <v>6250</v>
      </c>
      <c r="AG18" s="14">
        <f t="shared" si="9"/>
        <v>6250</v>
      </c>
      <c r="AH18" s="14">
        <f t="shared" si="9"/>
        <v>6250</v>
      </c>
      <c r="AI18" s="14">
        <f t="shared" ref="AI18:BJ18" si="10">AI5*$A18/12</f>
        <v>6250</v>
      </c>
      <c r="AJ18" s="14">
        <f t="shared" si="10"/>
        <v>6250</v>
      </c>
      <c r="AK18" s="14">
        <f t="shared" si="10"/>
        <v>6250</v>
      </c>
      <c r="AL18" s="14">
        <f t="shared" si="10"/>
        <v>6250</v>
      </c>
      <c r="AM18" s="14">
        <f t="shared" si="10"/>
        <v>6250</v>
      </c>
      <c r="AN18" s="14">
        <f t="shared" si="10"/>
        <v>6250</v>
      </c>
      <c r="AO18" s="14">
        <f t="shared" si="10"/>
        <v>6250</v>
      </c>
      <c r="AP18" s="14">
        <f t="shared" si="10"/>
        <v>6250</v>
      </c>
      <c r="AQ18" s="14">
        <f t="shared" si="10"/>
        <v>6250</v>
      </c>
      <c r="AR18" s="14">
        <f t="shared" si="10"/>
        <v>6250</v>
      </c>
      <c r="AS18" s="14">
        <f t="shared" si="10"/>
        <v>6250</v>
      </c>
      <c r="AT18" s="14">
        <f t="shared" si="10"/>
        <v>6250</v>
      </c>
      <c r="AU18" s="14">
        <f t="shared" si="10"/>
        <v>6250</v>
      </c>
      <c r="AV18" s="14">
        <f t="shared" si="10"/>
        <v>6250</v>
      </c>
      <c r="AW18" s="14">
        <f t="shared" si="10"/>
        <v>6250</v>
      </c>
      <c r="AX18" s="14">
        <f t="shared" si="10"/>
        <v>6250</v>
      </c>
      <c r="AY18" s="14">
        <f t="shared" si="10"/>
        <v>6250</v>
      </c>
      <c r="AZ18" s="14">
        <f t="shared" si="10"/>
        <v>6250</v>
      </c>
      <c r="BA18" s="14">
        <f t="shared" si="10"/>
        <v>6250</v>
      </c>
      <c r="BB18" s="14">
        <f t="shared" si="10"/>
        <v>6250</v>
      </c>
      <c r="BC18" s="14">
        <f t="shared" si="10"/>
        <v>6250</v>
      </c>
      <c r="BD18" s="14">
        <f t="shared" si="10"/>
        <v>6250</v>
      </c>
      <c r="BE18" s="14">
        <f t="shared" si="10"/>
        <v>6250</v>
      </c>
      <c r="BF18" s="14">
        <f t="shared" si="10"/>
        <v>6250</v>
      </c>
      <c r="BG18" s="14">
        <f t="shared" si="10"/>
        <v>6250</v>
      </c>
      <c r="BH18" s="14">
        <f t="shared" si="10"/>
        <v>6250</v>
      </c>
      <c r="BI18" s="14">
        <f t="shared" si="10"/>
        <v>6250</v>
      </c>
      <c r="BJ18" s="14">
        <f t="shared" si="10"/>
        <v>6250</v>
      </c>
    </row>
    <row r="19" spans="1:62" x14ac:dyDescent="0.2">
      <c r="A19" s="5">
        <v>100000</v>
      </c>
      <c r="B19" t="s">
        <v>75</v>
      </c>
      <c r="C19" s="66">
        <v>8333.3333333333339</v>
      </c>
      <c r="D19" s="66">
        <v>8333.3333333333339</v>
      </c>
      <c r="E19" s="66">
        <v>8333.3333333333339</v>
      </c>
      <c r="F19" s="66">
        <v>16666.666666666668</v>
      </c>
      <c r="G19" s="66">
        <v>16666.666666666668</v>
      </c>
      <c r="H19" s="14">
        <f t="shared" ref="H19:AH19" si="11">H6*$A19/12</f>
        <v>16666.666666666668</v>
      </c>
      <c r="I19" s="14">
        <f t="shared" si="11"/>
        <v>16666.666666666668</v>
      </c>
      <c r="J19" s="14">
        <f t="shared" si="11"/>
        <v>16666.666666666668</v>
      </c>
      <c r="K19" s="14">
        <f t="shared" si="11"/>
        <v>16666.666666666668</v>
      </c>
      <c r="L19" s="14">
        <f t="shared" si="11"/>
        <v>16666.666666666668</v>
      </c>
      <c r="M19" s="14">
        <f t="shared" si="11"/>
        <v>16666.666666666668</v>
      </c>
      <c r="N19" s="14">
        <f t="shared" si="11"/>
        <v>16666.666666666668</v>
      </c>
      <c r="O19" s="14">
        <f t="shared" si="11"/>
        <v>25000</v>
      </c>
      <c r="P19" s="14">
        <f t="shared" si="11"/>
        <v>25000</v>
      </c>
      <c r="Q19" s="14">
        <f t="shared" si="11"/>
        <v>25000</v>
      </c>
      <c r="R19" s="14">
        <f t="shared" si="11"/>
        <v>25000</v>
      </c>
      <c r="S19" s="14">
        <f t="shared" si="11"/>
        <v>25000</v>
      </c>
      <c r="T19" s="14">
        <f t="shared" si="11"/>
        <v>25000</v>
      </c>
      <c r="U19" s="14">
        <f t="shared" si="11"/>
        <v>25000</v>
      </c>
      <c r="V19" s="14">
        <f t="shared" si="11"/>
        <v>25000</v>
      </c>
      <c r="W19" s="14">
        <f t="shared" si="11"/>
        <v>25000</v>
      </c>
      <c r="X19" s="14">
        <f t="shared" si="11"/>
        <v>25000</v>
      </c>
      <c r="Y19" s="14">
        <f t="shared" si="11"/>
        <v>25000</v>
      </c>
      <c r="Z19" s="14">
        <f t="shared" si="11"/>
        <v>25000</v>
      </c>
      <c r="AA19" s="14">
        <f t="shared" si="11"/>
        <v>25000</v>
      </c>
      <c r="AB19" s="14">
        <f t="shared" si="11"/>
        <v>25000</v>
      </c>
      <c r="AC19" s="14">
        <f t="shared" si="11"/>
        <v>25000</v>
      </c>
      <c r="AD19" s="14">
        <f t="shared" si="11"/>
        <v>25000</v>
      </c>
      <c r="AE19" s="14">
        <f t="shared" si="11"/>
        <v>25000</v>
      </c>
      <c r="AF19" s="14">
        <f t="shared" si="11"/>
        <v>25000</v>
      </c>
      <c r="AG19" s="14">
        <f t="shared" si="11"/>
        <v>25000</v>
      </c>
      <c r="AH19" s="14">
        <f t="shared" si="11"/>
        <v>25000</v>
      </c>
      <c r="AI19" s="14">
        <f t="shared" ref="AI19:BJ19" si="12">AI6*$A19/12</f>
        <v>25000</v>
      </c>
      <c r="AJ19" s="14">
        <f t="shared" si="12"/>
        <v>25000</v>
      </c>
      <c r="AK19" s="14">
        <f t="shared" si="12"/>
        <v>25000</v>
      </c>
      <c r="AL19" s="14">
        <f t="shared" si="12"/>
        <v>25000</v>
      </c>
      <c r="AM19" s="14">
        <f t="shared" si="12"/>
        <v>25000</v>
      </c>
      <c r="AN19" s="14">
        <f t="shared" si="12"/>
        <v>25000</v>
      </c>
      <c r="AO19" s="14">
        <f t="shared" si="12"/>
        <v>25000</v>
      </c>
      <c r="AP19" s="14">
        <f t="shared" si="12"/>
        <v>25000</v>
      </c>
      <c r="AQ19" s="14">
        <f t="shared" si="12"/>
        <v>25000</v>
      </c>
      <c r="AR19" s="14">
        <f t="shared" si="12"/>
        <v>25000</v>
      </c>
      <c r="AS19" s="14">
        <f t="shared" si="12"/>
        <v>25000</v>
      </c>
      <c r="AT19" s="14">
        <f t="shared" si="12"/>
        <v>25000</v>
      </c>
      <c r="AU19" s="14">
        <f t="shared" si="12"/>
        <v>25000</v>
      </c>
      <c r="AV19" s="14">
        <f t="shared" si="12"/>
        <v>25000</v>
      </c>
      <c r="AW19" s="14">
        <f t="shared" si="12"/>
        <v>25000</v>
      </c>
      <c r="AX19" s="14">
        <f t="shared" si="12"/>
        <v>25000</v>
      </c>
      <c r="AY19" s="14">
        <f t="shared" si="12"/>
        <v>25000</v>
      </c>
      <c r="AZ19" s="14">
        <f t="shared" si="12"/>
        <v>25000</v>
      </c>
      <c r="BA19" s="14">
        <f t="shared" si="12"/>
        <v>25000</v>
      </c>
      <c r="BB19" s="14">
        <f t="shared" si="12"/>
        <v>25000</v>
      </c>
      <c r="BC19" s="14">
        <f t="shared" si="12"/>
        <v>25000</v>
      </c>
      <c r="BD19" s="14">
        <f t="shared" si="12"/>
        <v>25000</v>
      </c>
      <c r="BE19" s="14">
        <f t="shared" si="12"/>
        <v>25000</v>
      </c>
      <c r="BF19" s="14">
        <f t="shared" si="12"/>
        <v>25000</v>
      </c>
      <c r="BG19" s="14">
        <f t="shared" si="12"/>
        <v>25000</v>
      </c>
      <c r="BH19" s="14">
        <f t="shared" si="12"/>
        <v>25000</v>
      </c>
      <c r="BI19" s="14">
        <f t="shared" si="12"/>
        <v>25000</v>
      </c>
      <c r="BJ19" s="14">
        <f t="shared" si="12"/>
        <v>25000</v>
      </c>
    </row>
    <row r="20" spans="1:62" x14ac:dyDescent="0.2">
      <c r="A20" s="5">
        <v>80000</v>
      </c>
      <c r="B20" t="s">
        <v>76</v>
      </c>
      <c r="C20" s="66">
        <v>0</v>
      </c>
      <c r="D20" s="66">
        <v>0</v>
      </c>
      <c r="E20" s="66">
        <v>6666.666666666667</v>
      </c>
      <c r="F20" s="66">
        <v>6666.666666666667</v>
      </c>
      <c r="G20" s="66">
        <v>6666.666666666667</v>
      </c>
      <c r="H20" s="14">
        <f t="shared" ref="H20:AH20" si="13">H7*$A20/12</f>
        <v>6666.666666666667</v>
      </c>
      <c r="I20" s="14">
        <f t="shared" si="13"/>
        <v>6666.666666666667</v>
      </c>
      <c r="J20" s="14">
        <f t="shared" si="13"/>
        <v>6666.666666666667</v>
      </c>
      <c r="K20" s="14">
        <f t="shared" si="13"/>
        <v>6666.666666666667</v>
      </c>
      <c r="L20" s="14">
        <f t="shared" si="13"/>
        <v>6666.666666666667</v>
      </c>
      <c r="M20" s="14">
        <f t="shared" si="13"/>
        <v>6666.666666666667</v>
      </c>
      <c r="N20" s="14">
        <f t="shared" si="13"/>
        <v>6666.666666666667</v>
      </c>
      <c r="O20" s="14">
        <f t="shared" si="13"/>
        <v>6666.666666666667</v>
      </c>
      <c r="P20" s="14">
        <f t="shared" si="13"/>
        <v>6666.666666666667</v>
      </c>
      <c r="Q20" s="14">
        <f t="shared" si="13"/>
        <v>6666.666666666667</v>
      </c>
      <c r="R20" s="14">
        <f t="shared" si="13"/>
        <v>6666.666666666667</v>
      </c>
      <c r="S20" s="14">
        <f t="shared" si="13"/>
        <v>6666.666666666667</v>
      </c>
      <c r="T20" s="14">
        <f t="shared" si="13"/>
        <v>6666.666666666667</v>
      </c>
      <c r="U20" s="14">
        <f t="shared" si="13"/>
        <v>6666.666666666667</v>
      </c>
      <c r="V20" s="14">
        <f t="shared" si="13"/>
        <v>6666.666666666667</v>
      </c>
      <c r="W20" s="14">
        <f t="shared" si="13"/>
        <v>6666.666666666667</v>
      </c>
      <c r="X20" s="14">
        <f t="shared" si="13"/>
        <v>6666.666666666667</v>
      </c>
      <c r="Y20" s="14">
        <f t="shared" si="13"/>
        <v>6666.666666666667</v>
      </c>
      <c r="Z20" s="14">
        <f t="shared" si="13"/>
        <v>6666.666666666667</v>
      </c>
      <c r="AA20" s="14">
        <f t="shared" si="13"/>
        <v>6666.666666666667</v>
      </c>
      <c r="AB20" s="14">
        <f t="shared" si="13"/>
        <v>6666.666666666667</v>
      </c>
      <c r="AC20" s="14">
        <f t="shared" si="13"/>
        <v>6666.666666666667</v>
      </c>
      <c r="AD20" s="14">
        <f t="shared" si="13"/>
        <v>6666.666666666667</v>
      </c>
      <c r="AE20" s="14">
        <f t="shared" si="13"/>
        <v>6666.666666666667</v>
      </c>
      <c r="AF20" s="14">
        <f t="shared" si="13"/>
        <v>6666.666666666667</v>
      </c>
      <c r="AG20" s="14">
        <f t="shared" si="13"/>
        <v>6666.666666666667</v>
      </c>
      <c r="AH20" s="14">
        <f t="shared" si="13"/>
        <v>6666.666666666667</v>
      </c>
      <c r="AI20" s="14">
        <f t="shared" ref="AI20:BJ20" si="14">AI7*$A20/12</f>
        <v>6666.666666666667</v>
      </c>
      <c r="AJ20" s="14">
        <f t="shared" si="14"/>
        <v>6666.666666666667</v>
      </c>
      <c r="AK20" s="14">
        <f t="shared" si="14"/>
        <v>6666.666666666667</v>
      </c>
      <c r="AL20" s="14">
        <f t="shared" si="14"/>
        <v>6666.666666666667</v>
      </c>
      <c r="AM20" s="14">
        <f t="shared" si="14"/>
        <v>6666.666666666667</v>
      </c>
      <c r="AN20" s="14">
        <f t="shared" si="14"/>
        <v>6666.666666666667</v>
      </c>
      <c r="AO20" s="14">
        <f t="shared" si="14"/>
        <v>6666.666666666667</v>
      </c>
      <c r="AP20" s="14">
        <f t="shared" si="14"/>
        <v>6666.666666666667</v>
      </c>
      <c r="AQ20" s="14">
        <f t="shared" si="14"/>
        <v>6666.666666666667</v>
      </c>
      <c r="AR20" s="14">
        <f t="shared" si="14"/>
        <v>6666.666666666667</v>
      </c>
      <c r="AS20" s="14">
        <f t="shared" si="14"/>
        <v>6666.666666666667</v>
      </c>
      <c r="AT20" s="14">
        <f t="shared" si="14"/>
        <v>6666.666666666667</v>
      </c>
      <c r="AU20" s="14">
        <f t="shared" si="14"/>
        <v>6666.666666666667</v>
      </c>
      <c r="AV20" s="14">
        <f t="shared" si="14"/>
        <v>6666.666666666667</v>
      </c>
      <c r="AW20" s="14">
        <f t="shared" si="14"/>
        <v>6666.666666666667</v>
      </c>
      <c r="AX20" s="14">
        <f t="shared" si="14"/>
        <v>6666.666666666667</v>
      </c>
      <c r="AY20" s="14">
        <f t="shared" si="14"/>
        <v>6666.666666666667</v>
      </c>
      <c r="AZ20" s="14">
        <f t="shared" si="14"/>
        <v>6666.666666666667</v>
      </c>
      <c r="BA20" s="14">
        <f t="shared" si="14"/>
        <v>6666.666666666667</v>
      </c>
      <c r="BB20" s="14">
        <f t="shared" si="14"/>
        <v>6666.666666666667</v>
      </c>
      <c r="BC20" s="14">
        <f t="shared" si="14"/>
        <v>6666.666666666667</v>
      </c>
      <c r="BD20" s="14">
        <f t="shared" si="14"/>
        <v>6666.666666666667</v>
      </c>
      <c r="BE20" s="14">
        <f t="shared" si="14"/>
        <v>6666.666666666667</v>
      </c>
      <c r="BF20" s="14">
        <f t="shared" si="14"/>
        <v>6666.666666666667</v>
      </c>
      <c r="BG20" s="14">
        <f t="shared" si="14"/>
        <v>6666.666666666667</v>
      </c>
      <c r="BH20" s="14">
        <f t="shared" si="14"/>
        <v>6666.666666666667</v>
      </c>
      <c r="BI20" s="14">
        <f t="shared" si="14"/>
        <v>6666.666666666667</v>
      </c>
      <c r="BJ20" s="14">
        <f t="shared" si="14"/>
        <v>6666.666666666667</v>
      </c>
    </row>
    <row r="21" spans="1:62" x14ac:dyDescent="0.2">
      <c r="A21" s="5"/>
      <c r="C21" s="66"/>
      <c r="D21" s="66"/>
      <c r="E21" s="66"/>
      <c r="F21" s="66"/>
      <c r="G21" s="66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x14ac:dyDescent="0.2">
      <c r="A22" s="5">
        <v>90000</v>
      </c>
      <c r="B22" t="s">
        <v>74</v>
      </c>
      <c r="C22" s="66">
        <v>7500</v>
      </c>
      <c r="D22" s="66">
        <v>7500</v>
      </c>
      <c r="E22" s="66">
        <v>7500</v>
      </c>
      <c r="F22" s="66">
        <v>7500</v>
      </c>
      <c r="G22" s="66">
        <v>7500</v>
      </c>
      <c r="H22" s="14">
        <f t="shared" ref="H22:AH22" si="15">H9*$A22/12</f>
        <v>7500</v>
      </c>
      <c r="I22" s="14">
        <f t="shared" si="15"/>
        <v>7500</v>
      </c>
      <c r="J22" s="14">
        <f t="shared" si="15"/>
        <v>7500</v>
      </c>
      <c r="K22" s="14">
        <f t="shared" si="15"/>
        <v>7500</v>
      </c>
      <c r="L22" s="14">
        <f t="shared" si="15"/>
        <v>7500</v>
      </c>
      <c r="M22" s="14">
        <f t="shared" si="15"/>
        <v>7500</v>
      </c>
      <c r="N22" s="14">
        <f t="shared" si="15"/>
        <v>7500</v>
      </c>
      <c r="O22" s="14">
        <f t="shared" si="15"/>
        <v>7500</v>
      </c>
      <c r="P22" s="14">
        <f t="shared" si="15"/>
        <v>7500</v>
      </c>
      <c r="Q22" s="14">
        <f t="shared" si="15"/>
        <v>7500</v>
      </c>
      <c r="R22" s="14">
        <f t="shared" si="15"/>
        <v>7500</v>
      </c>
      <c r="S22" s="14">
        <f t="shared" si="15"/>
        <v>7500</v>
      </c>
      <c r="T22" s="14">
        <f t="shared" si="15"/>
        <v>7500</v>
      </c>
      <c r="U22" s="14">
        <f t="shared" si="15"/>
        <v>7500</v>
      </c>
      <c r="V22" s="14">
        <f t="shared" si="15"/>
        <v>7500</v>
      </c>
      <c r="W22" s="14">
        <f t="shared" si="15"/>
        <v>7500</v>
      </c>
      <c r="X22" s="14">
        <f t="shared" si="15"/>
        <v>7500</v>
      </c>
      <c r="Y22" s="14">
        <f t="shared" si="15"/>
        <v>7500</v>
      </c>
      <c r="Z22" s="14">
        <f t="shared" si="15"/>
        <v>7500</v>
      </c>
      <c r="AA22" s="14">
        <f t="shared" si="15"/>
        <v>7500</v>
      </c>
      <c r="AB22" s="14">
        <f t="shared" si="15"/>
        <v>7500</v>
      </c>
      <c r="AC22" s="14">
        <f t="shared" si="15"/>
        <v>7500</v>
      </c>
      <c r="AD22" s="14">
        <f t="shared" si="15"/>
        <v>7500</v>
      </c>
      <c r="AE22" s="14">
        <f t="shared" si="15"/>
        <v>7500</v>
      </c>
      <c r="AF22" s="14">
        <f t="shared" si="15"/>
        <v>7500</v>
      </c>
      <c r="AG22" s="14">
        <f t="shared" si="15"/>
        <v>7500</v>
      </c>
      <c r="AH22" s="14">
        <f t="shared" si="15"/>
        <v>7500</v>
      </c>
      <c r="AI22" s="14">
        <f t="shared" ref="AI22:BJ22" si="16">AI9*$A22/12</f>
        <v>7500</v>
      </c>
      <c r="AJ22" s="14">
        <f t="shared" si="16"/>
        <v>7500</v>
      </c>
      <c r="AK22" s="14">
        <f t="shared" si="16"/>
        <v>7500</v>
      </c>
      <c r="AL22" s="14">
        <f t="shared" si="16"/>
        <v>7500</v>
      </c>
      <c r="AM22" s="14">
        <f t="shared" si="16"/>
        <v>7500</v>
      </c>
      <c r="AN22" s="14">
        <f t="shared" si="16"/>
        <v>7500</v>
      </c>
      <c r="AO22" s="14">
        <f t="shared" si="16"/>
        <v>7500</v>
      </c>
      <c r="AP22" s="14">
        <f t="shared" si="16"/>
        <v>7500</v>
      </c>
      <c r="AQ22" s="14">
        <f t="shared" si="16"/>
        <v>7500</v>
      </c>
      <c r="AR22" s="14">
        <f t="shared" si="16"/>
        <v>7500</v>
      </c>
      <c r="AS22" s="14">
        <f t="shared" si="16"/>
        <v>7500</v>
      </c>
      <c r="AT22" s="14">
        <f t="shared" si="16"/>
        <v>7500</v>
      </c>
      <c r="AU22" s="14">
        <f t="shared" si="16"/>
        <v>7500</v>
      </c>
      <c r="AV22" s="14">
        <f t="shared" si="16"/>
        <v>7500</v>
      </c>
      <c r="AW22" s="14">
        <f t="shared" si="16"/>
        <v>7500</v>
      </c>
      <c r="AX22" s="14">
        <f t="shared" si="16"/>
        <v>7500</v>
      </c>
      <c r="AY22" s="14">
        <f t="shared" si="16"/>
        <v>7500</v>
      </c>
      <c r="AZ22" s="14">
        <f t="shared" si="16"/>
        <v>7500</v>
      </c>
      <c r="BA22" s="14">
        <f t="shared" si="16"/>
        <v>7500</v>
      </c>
      <c r="BB22" s="14">
        <f t="shared" si="16"/>
        <v>7500</v>
      </c>
      <c r="BC22" s="14">
        <f t="shared" si="16"/>
        <v>7500</v>
      </c>
      <c r="BD22" s="14">
        <f t="shared" si="16"/>
        <v>7500</v>
      </c>
      <c r="BE22" s="14">
        <f t="shared" si="16"/>
        <v>7500</v>
      </c>
      <c r="BF22" s="14">
        <f t="shared" si="16"/>
        <v>7500</v>
      </c>
      <c r="BG22" s="14">
        <f t="shared" si="16"/>
        <v>7500</v>
      </c>
      <c r="BH22" s="14">
        <f t="shared" si="16"/>
        <v>7500</v>
      </c>
      <c r="BI22" s="14">
        <f t="shared" si="16"/>
        <v>7500</v>
      </c>
      <c r="BJ22" s="14">
        <f t="shared" si="16"/>
        <v>7500</v>
      </c>
    </row>
    <row r="23" spans="1:62" x14ac:dyDescent="0.2">
      <c r="A23" s="5">
        <v>60000</v>
      </c>
      <c r="B23" t="s">
        <v>77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14">
        <f t="shared" ref="H23:AH23" si="17">H10*$A23/12</f>
        <v>0</v>
      </c>
      <c r="I23" s="14">
        <f t="shared" si="17"/>
        <v>0</v>
      </c>
      <c r="J23" s="14">
        <f t="shared" si="17"/>
        <v>0</v>
      </c>
      <c r="K23" s="14">
        <f t="shared" si="17"/>
        <v>0</v>
      </c>
      <c r="L23" s="14">
        <f t="shared" si="17"/>
        <v>0</v>
      </c>
      <c r="M23" s="14">
        <f t="shared" si="17"/>
        <v>0</v>
      </c>
      <c r="N23" s="14">
        <f t="shared" si="17"/>
        <v>0</v>
      </c>
      <c r="O23" s="14">
        <f t="shared" si="17"/>
        <v>0</v>
      </c>
      <c r="P23" s="14">
        <f t="shared" si="17"/>
        <v>0</v>
      </c>
      <c r="Q23" s="14">
        <f t="shared" si="17"/>
        <v>0</v>
      </c>
      <c r="R23" s="14">
        <f t="shared" si="17"/>
        <v>0</v>
      </c>
      <c r="S23" s="14">
        <f t="shared" si="17"/>
        <v>0</v>
      </c>
      <c r="T23" s="14">
        <f t="shared" si="17"/>
        <v>0</v>
      </c>
      <c r="U23" s="14">
        <f t="shared" si="17"/>
        <v>0</v>
      </c>
      <c r="V23" s="14">
        <f t="shared" si="17"/>
        <v>0</v>
      </c>
      <c r="W23" s="14">
        <f t="shared" si="17"/>
        <v>0</v>
      </c>
      <c r="X23" s="14">
        <f t="shared" si="17"/>
        <v>0</v>
      </c>
      <c r="Y23" s="14">
        <f t="shared" si="17"/>
        <v>0</v>
      </c>
      <c r="Z23" s="14">
        <f t="shared" si="17"/>
        <v>0</v>
      </c>
      <c r="AA23" s="14">
        <f t="shared" si="17"/>
        <v>0</v>
      </c>
      <c r="AB23" s="14">
        <f t="shared" si="17"/>
        <v>0</v>
      </c>
      <c r="AC23" s="14">
        <f t="shared" si="17"/>
        <v>0</v>
      </c>
      <c r="AD23" s="14">
        <f t="shared" si="17"/>
        <v>0</v>
      </c>
      <c r="AE23" s="14">
        <f t="shared" si="17"/>
        <v>0</v>
      </c>
      <c r="AF23" s="14">
        <f t="shared" si="17"/>
        <v>0</v>
      </c>
      <c r="AG23" s="14">
        <f t="shared" si="17"/>
        <v>0</v>
      </c>
      <c r="AH23" s="14">
        <f t="shared" si="17"/>
        <v>0</v>
      </c>
      <c r="AI23" s="14">
        <f t="shared" ref="AI23:BJ23" si="18">AI10*$A23/12</f>
        <v>0</v>
      </c>
      <c r="AJ23" s="14">
        <f t="shared" si="18"/>
        <v>0</v>
      </c>
      <c r="AK23" s="14">
        <f t="shared" si="18"/>
        <v>0</v>
      </c>
      <c r="AL23" s="14">
        <f t="shared" si="18"/>
        <v>0</v>
      </c>
      <c r="AM23" s="14">
        <f t="shared" si="18"/>
        <v>0</v>
      </c>
      <c r="AN23" s="14">
        <f t="shared" si="18"/>
        <v>0</v>
      </c>
      <c r="AO23" s="14">
        <f t="shared" si="18"/>
        <v>0</v>
      </c>
      <c r="AP23" s="14">
        <f t="shared" si="18"/>
        <v>0</v>
      </c>
      <c r="AQ23" s="14">
        <f t="shared" si="18"/>
        <v>0</v>
      </c>
      <c r="AR23" s="14">
        <f t="shared" si="18"/>
        <v>0</v>
      </c>
      <c r="AS23" s="14">
        <f t="shared" si="18"/>
        <v>0</v>
      </c>
      <c r="AT23" s="14">
        <f t="shared" si="18"/>
        <v>0</v>
      </c>
      <c r="AU23" s="14">
        <f t="shared" si="18"/>
        <v>0</v>
      </c>
      <c r="AV23" s="14">
        <f t="shared" si="18"/>
        <v>0</v>
      </c>
      <c r="AW23" s="14">
        <f t="shared" si="18"/>
        <v>0</v>
      </c>
      <c r="AX23" s="14">
        <f t="shared" si="18"/>
        <v>0</v>
      </c>
      <c r="AY23" s="14">
        <f t="shared" si="18"/>
        <v>0</v>
      </c>
      <c r="AZ23" s="14">
        <f t="shared" si="18"/>
        <v>0</v>
      </c>
      <c r="BA23" s="14">
        <f t="shared" si="18"/>
        <v>0</v>
      </c>
      <c r="BB23" s="14">
        <f t="shared" si="18"/>
        <v>0</v>
      </c>
      <c r="BC23" s="14">
        <f t="shared" si="18"/>
        <v>0</v>
      </c>
      <c r="BD23" s="14">
        <f t="shared" si="18"/>
        <v>0</v>
      </c>
      <c r="BE23" s="14">
        <f t="shared" si="18"/>
        <v>0</v>
      </c>
      <c r="BF23" s="14">
        <f t="shared" si="18"/>
        <v>0</v>
      </c>
      <c r="BG23" s="14">
        <f t="shared" si="18"/>
        <v>0</v>
      </c>
      <c r="BH23" s="14">
        <f t="shared" si="18"/>
        <v>0</v>
      </c>
      <c r="BI23" s="14">
        <f t="shared" si="18"/>
        <v>0</v>
      </c>
      <c r="BJ23" s="14">
        <f t="shared" si="18"/>
        <v>0</v>
      </c>
    </row>
    <row r="24" spans="1:62" x14ac:dyDescent="0.2">
      <c r="A24" s="5"/>
      <c r="C24" s="66"/>
      <c r="D24" s="66"/>
      <c r="E24" s="66"/>
      <c r="F24" s="66"/>
      <c r="G24" s="6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x14ac:dyDescent="0.2">
      <c r="A25" s="5">
        <v>70000</v>
      </c>
      <c r="B25" t="s">
        <v>78</v>
      </c>
      <c r="C25" s="66">
        <v>0</v>
      </c>
      <c r="D25" s="66">
        <v>0</v>
      </c>
      <c r="E25" s="66">
        <v>5833.333333333333</v>
      </c>
      <c r="F25" s="66">
        <v>5833.333333333333</v>
      </c>
      <c r="G25" s="66">
        <v>5833.333333333333</v>
      </c>
      <c r="H25" s="14">
        <f t="shared" ref="H25:AH25" si="19">H12*$A25/12</f>
        <v>5833.333333333333</v>
      </c>
      <c r="I25" s="14">
        <f t="shared" si="19"/>
        <v>5833.333333333333</v>
      </c>
      <c r="J25" s="14">
        <f t="shared" si="19"/>
        <v>5833.333333333333</v>
      </c>
      <c r="K25" s="14">
        <f t="shared" si="19"/>
        <v>5833.333333333333</v>
      </c>
      <c r="L25" s="14">
        <f t="shared" si="19"/>
        <v>5833.333333333333</v>
      </c>
      <c r="M25" s="14">
        <f t="shared" si="19"/>
        <v>5833.333333333333</v>
      </c>
      <c r="N25" s="14">
        <f t="shared" si="19"/>
        <v>5833.333333333333</v>
      </c>
      <c r="O25" s="14">
        <f t="shared" si="19"/>
        <v>5833.333333333333</v>
      </c>
      <c r="P25" s="14">
        <f t="shared" si="19"/>
        <v>5833.333333333333</v>
      </c>
      <c r="Q25" s="14">
        <f t="shared" si="19"/>
        <v>5833.333333333333</v>
      </c>
      <c r="R25" s="14">
        <f t="shared" si="19"/>
        <v>5833.333333333333</v>
      </c>
      <c r="S25" s="14">
        <f t="shared" si="19"/>
        <v>5833.333333333333</v>
      </c>
      <c r="T25" s="14">
        <f t="shared" si="19"/>
        <v>5833.333333333333</v>
      </c>
      <c r="U25" s="14">
        <f t="shared" si="19"/>
        <v>5833.333333333333</v>
      </c>
      <c r="V25" s="14">
        <f t="shared" si="19"/>
        <v>5833.333333333333</v>
      </c>
      <c r="W25" s="14">
        <f t="shared" si="19"/>
        <v>5833.333333333333</v>
      </c>
      <c r="X25" s="14">
        <f t="shared" si="19"/>
        <v>5833.333333333333</v>
      </c>
      <c r="Y25" s="14">
        <f t="shared" si="19"/>
        <v>5833.333333333333</v>
      </c>
      <c r="Z25" s="14">
        <f t="shared" si="19"/>
        <v>5833.333333333333</v>
      </c>
      <c r="AA25" s="14">
        <f t="shared" si="19"/>
        <v>5833.333333333333</v>
      </c>
      <c r="AB25" s="14">
        <f t="shared" si="19"/>
        <v>5833.333333333333</v>
      </c>
      <c r="AC25" s="14">
        <f t="shared" si="19"/>
        <v>5833.333333333333</v>
      </c>
      <c r="AD25" s="14">
        <f t="shared" si="19"/>
        <v>5833.333333333333</v>
      </c>
      <c r="AE25" s="14">
        <f t="shared" si="19"/>
        <v>5833.333333333333</v>
      </c>
      <c r="AF25" s="14">
        <f t="shared" si="19"/>
        <v>5833.333333333333</v>
      </c>
      <c r="AG25" s="14">
        <f t="shared" si="19"/>
        <v>5833.333333333333</v>
      </c>
      <c r="AH25" s="14">
        <f t="shared" si="19"/>
        <v>5833.333333333333</v>
      </c>
      <c r="AI25" s="14">
        <f t="shared" ref="AI25:BJ25" si="20">AI12*$A25/12</f>
        <v>5833.333333333333</v>
      </c>
      <c r="AJ25" s="14">
        <f t="shared" si="20"/>
        <v>5833.333333333333</v>
      </c>
      <c r="AK25" s="14">
        <f t="shared" si="20"/>
        <v>5833.333333333333</v>
      </c>
      <c r="AL25" s="14">
        <f t="shared" si="20"/>
        <v>5833.333333333333</v>
      </c>
      <c r="AM25" s="14">
        <f t="shared" si="20"/>
        <v>5833.333333333333</v>
      </c>
      <c r="AN25" s="14">
        <f t="shared" si="20"/>
        <v>5833.333333333333</v>
      </c>
      <c r="AO25" s="14">
        <f t="shared" si="20"/>
        <v>5833.333333333333</v>
      </c>
      <c r="AP25" s="14">
        <f t="shared" si="20"/>
        <v>5833.333333333333</v>
      </c>
      <c r="AQ25" s="14">
        <f t="shared" si="20"/>
        <v>5833.333333333333</v>
      </c>
      <c r="AR25" s="14">
        <f t="shared" si="20"/>
        <v>5833.333333333333</v>
      </c>
      <c r="AS25" s="14">
        <f t="shared" si="20"/>
        <v>5833.333333333333</v>
      </c>
      <c r="AT25" s="14">
        <f t="shared" si="20"/>
        <v>5833.333333333333</v>
      </c>
      <c r="AU25" s="14">
        <f t="shared" si="20"/>
        <v>5833.333333333333</v>
      </c>
      <c r="AV25" s="14">
        <f t="shared" si="20"/>
        <v>5833.333333333333</v>
      </c>
      <c r="AW25" s="14">
        <f t="shared" si="20"/>
        <v>5833.333333333333</v>
      </c>
      <c r="AX25" s="14">
        <f t="shared" si="20"/>
        <v>5833.333333333333</v>
      </c>
      <c r="AY25" s="14">
        <f t="shared" si="20"/>
        <v>5833.333333333333</v>
      </c>
      <c r="AZ25" s="14">
        <f t="shared" si="20"/>
        <v>5833.333333333333</v>
      </c>
      <c r="BA25" s="14">
        <f t="shared" si="20"/>
        <v>5833.333333333333</v>
      </c>
      <c r="BB25" s="14">
        <f t="shared" si="20"/>
        <v>5833.333333333333</v>
      </c>
      <c r="BC25" s="14">
        <f t="shared" si="20"/>
        <v>5833.333333333333</v>
      </c>
      <c r="BD25" s="14">
        <f t="shared" si="20"/>
        <v>5833.333333333333</v>
      </c>
      <c r="BE25" s="14">
        <f t="shared" si="20"/>
        <v>5833.333333333333</v>
      </c>
      <c r="BF25" s="14">
        <f t="shared" si="20"/>
        <v>5833.333333333333</v>
      </c>
      <c r="BG25" s="14">
        <f t="shared" si="20"/>
        <v>5833.333333333333</v>
      </c>
      <c r="BH25" s="14">
        <f t="shared" si="20"/>
        <v>5833.333333333333</v>
      </c>
      <c r="BI25" s="14">
        <f t="shared" si="20"/>
        <v>5833.333333333333</v>
      </c>
      <c r="BJ25" s="14">
        <f t="shared" si="20"/>
        <v>5833.333333333333</v>
      </c>
    </row>
    <row r="26" spans="1:62" x14ac:dyDescent="0.2">
      <c r="A26" s="5">
        <v>40000</v>
      </c>
      <c r="B26" t="s">
        <v>79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14">
        <f t="shared" ref="H26:AH26" si="21">H13*$A26/12</f>
        <v>0</v>
      </c>
      <c r="I26" s="14">
        <f t="shared" si="21"/>
        <v>0</v>
      </c>
      <c r="J26" s="14">
        <f t="shared" si="21"/>
        <v>0</v>
      </c>
      <c r="K26" s="14">
        <f t="shared" si="21"/>
        <v>0</v>
      </c>
      <c r="L26" s="14">
        <f t="shared" si="21"/>
        <v>0</v>
      </c>
      <c r="M26" s="14">
        <f t="shared" si="21"/>
        <v>0</v>
      </c>
      <c r="N26" s="14">
        <f t="shared" si="21"/>
        <v>0</v>
      </c>
      <c r="O26" s="14">
        <f t="shared" si="21"/>
        <v>0</v>
      </c>
      <c r="P26" s="14">
        <f t="shared" si="21"/>
        <v>0</v>
      </c>
      <c r="Q26" s="14">
        <f t="shared" si="21"/>
        <v>0</v>
      </c>
      <c r="R26" s="14">
        <f t="shared" si="21"/>
        <v>0</v>
      </c>
      <c r="S26" s="14">
        <f t="shared" si="21"/>
        <v>0</v>
      </c>
      <c r="T26" s="14">
        <f t="shared" si="21"/>
        <v>0</v>
      </c>
      <c r="U26" s="14">
        <f t="shared" si="21"/>
        <v>0</v>
      </c>
      <c r="V26" s="14">
        <f t="shared" si="21"/>
        <v>0</v>
      </c>
      <c r="W26" s="14">
        <f t="shared" si="21"/>
        <v>0</v>
      </c>
      <c r="X26" s="14">
        <f t="shared" si="21"/>
        <v>3333.3333333333335</v>
      </c>
      <c r="Y26" s="14">
        <f t="shared" si="21"/>
        <v>3333.3333333333335</v>
      </c>
      <c r="Z26" s="14">
        <f t="shared" si="21"/>
        <v>3333.3333333333335</v>
      </c>
      <c r="AA26" s="14">
        <f t="shared" si="21"/>
        <v>3333.3333333333335</v>
      </c>
      <c r="AB26" s="14">
        <f t="shared" si="21"/>
        <v>3333.3333333333335</v>
      </c>
      <c r="AC26" s="14">
        <f t="shared" si="21"/>
        <v>3333.3333333333335</v>
      </c>
      <c r="AD26" s="14">
        <f t="shared" si="21"/>
        <v>3333.3333333333335</v>
      </c>
      <c r="AE26" s="14">
        <f t="shared" si="21"/>
        <v>3333.3333333333335</v>
      </c>
      <c r="AF26" s="14">
        <f t="shared" si="21"/>
        <v>3333.3333333333335</v>
      </c>
      <c r="AG26" s="14">
        <f t="shared" si="21"/>
        <v>3333.3333333333335</v>
      </c>
      <c r="AH26" s="14">
        <f t="shared" si="21"/>
        <v>3333.3333333333335</v>
      </c>
      <c r="AI26" s="14">
        <f t="shared" ref="AI26:BJ26" si="22">AI13*$A26/12</f>
        <v>3333.3333333333335</v>
      </c>
      <c r="AJ26" s="14">
        <f t="shared" si="22"/>
        <v>3333.3333333333335</v>
      </c>
      <c r="AK26" s="14">
        <f t="shared" si="22"/>
        <v>3333.3333333333335</v>
      </c>
      <c r="AL26" s="14">
        <f t="shared" si="22"/>
        <v>3333.3333333333335</v>
      </c>
      <c r="AM26" s="14">
        <f t="shared" si="22"/>
        <v>3333.3333333333335</v>
      </c>
      <c r="AN26" s="14">
        <f t="shared" si="22"/>
        <v>3333.3333333333335</v>
      </c>
      <c r="AO26" s="14">
        <f t="shared" si="22"/>
        <v>3333.3333333333335</v>
      </c>
      <c r="AP26" s="14">
        <f t="shared" si="22"/>
        <v>3333.3333333333335</v>
      </c>
      <c r="AQ26" s="14">
        <f t="shared" si="22"/>
        <v>3333.3333333333335</v>
      </c>
      <c r="AR26" s="14">
        <f t="shared" si="22"/>
        <v>3333.3333333333335</v>
      </c>
      <c r="AS26" s="14">
        <f t="shared" si="22"/>
        <v>3333.3333333333335</v>
      </c>
      <c r="AT26" s="14">
        <f t="shared" si="22"/>
        <v>3333.3333333333335</v>
      </c>
      <c r="AU26" s="14">
        <f t="shared" si="22"/>
        <v>3333.3333333333335</v>
      </c>
      <c r="AV26" s="14">
        <f t="shared" si="22"/>
        <v>3333.3333333333335</v>
      </c>
      <c r="AW26" s="14">
        <f t="shared" si="22"/>
        <v>3333.3333333333335</v>
      </c>
      <c r="AX26" s="14">
        <f t="shared" si="22"/>
        <v>3333.3333333333335</v>
      </c>
      <c r="AY26" s="14">
        <f t="shared" si="22"/>
        <v>3333.3333333333335</v>
      </c>
      <c r="AZ26" s="14">
        <f t="shared" si="22"/>
        <v>3333.3333333333335</v>
      </c>
      <c r="BA26" s="14">
        <f t="shared" si="22"/>
        <v>3333.3333333333335</v>
      </c>
      <c r="BB26" s="14">
        <f t="shared" si="22"/>
        <v>3333.3333333333335</v>
      </c>
      <c r="BC26" s="14">
        <f t="shared" si="22"/>
        <v>3333.3333333333335</v>
      </c>
      <c r="BD26" s="14">
        <f t="shared" si="22"/>
        <v>3333.3333333333335</v>
      </c>
      <c r="BE26" s="14">
        <f t="shared" si="22"/>
        <v>6666.666666666667</v>
      </c>
      <c r="BF26" s="14">
        <f t="shared" si="22"/>
        <v>6666.666666666667</v>
      </c>
      <c r="BG26" s="14">
        <f t="shared" si="22"/>
        <v>6666.666666666667</v>
      </c>
      <c r="BH26" s="14">
        <f t="shared" si="22"/>
        <v>6666.666666666667</v>
      </c>
      <c r="BI26" s="14">
        <f t="shared" si="22"/>
        <v>6666.666666666667</v>
      </c>
      <c r="BJ26" s="14">
        <f t="shared" si="22"/>
        <v>6666.666666666667</v>
      </c>
    </row>
    <row r="27" spans="1:62" x14ac:dyDescent="0.2">
      <c r="C27" s="65"/>
      <c r="D27" s="65"/>
      <c r="E27" s="65"/>
      <c r="F27" s="65"/>
      <c r="G27" s="65"/>
    </row>
    <row r="28" spans="1:62" x14ac:dyDescent="0.2">
      <c r="B28" t="s">
        <v>81</v>
      </c>
      <c r="C28" s="63">
        <v>28333.333333333336</v>
      </c>
      <c r="D28" s="63">
        <v>28333.333333333336</v>
      </c>
      <c r="E28" s="63">
        <v>40833.333333333336</v>
      </c>
      <c r="F28" s="63">
        <v>49166.666666666672</v>
      </c>
      <c r="G28" s="63">
        <v>49166.666666666672</v>
      </c>
      <c r="H28" s="5">
        <f t="shared" ref="H28:BF28" si="23">SUM(H16:H27)</f>
        <v>49166.666666666672</v>
      </c>
      <c r="I28" s="5">
        <f t="shared" si="23"/>
        <v>49166.666666666672</v>
      </c>
      <c r="J28" s="5">
        <f t="shared" si="23"/>
        <v>49166.666666666672</v>
      </c>
      <c r="K28" s="5">
        <f t="shared" si="23"/>
        <v>49166.666666666672</v>
      </c>
      <c r="L28" s="5">
        <f t="shared" si="23"/>
        <v>49166.666666666672</v>
      </c>
      <c r="M28" s="5">
        <f t="shared" si="23"/>
        <v>49166.666666666672</v>
      </c>
      <c r="N28" s="5">
        <f t="shared" si="23"/>
        <v>49166.666666666672</v>
      </c>
      <c r="O28" s="5">
        <f t="shared" si="23"/>
        <v>57500</v>
      </c>
      <c r="P28" s="5">
        <f t="shared" si="23"/>
        <v>57500</v>
      </c>
      <c r="Q28" s="5">
        <f t="shared" si="23"/>
        <v>57500</v>
      </c>
      <c r="R28" s="5">
        <f t="shared" si="23"/>
        <v>57500</v>
      </c>
      <c r="S28" s="5">
        <f t="shared" si="23"/>
        <v>57500</v>
      </c>
      <c r="T28" s="5">
        <f t="shared" si="23"/>
        <v>57500</v>
      </c>
      <c r="U28" s="5">
        <f t="shared" si="23"/>
        <v>57500</v>
      </c>
      <c r="V28" s="5">
        <f t="shared" si="23"/>
        <v>57500</v>
      </c>
      <c r="W28" s="5">
        <f t="shared" si="23"/>
        <v>57500</v>
      </c>
      <c r="X28" s="5">
        <f t="shared" si="23"/>
        <v>60833.333333333336</v>
      </c>
      <c r="Y28" s="5">
        <f t="shared" si="23"/>
        <v>60833.333333333336</v>
      </c>
      <c r="Z28" s="5">
        <f t="shared" si="23"/>
        <v>60833.333333333336</v>
      </c>
      <c r="AA28" s="5">
        <f t="shared" si="23"/>
        <v>60833.333333333336</v>
      </c>
      <c r="AB28" s="5">
        <f t="shared" si="23"/>
        <v>60833.333333333336</v>
      </c>
      <c r="AC28" s="5">
        <f t="shared" si="23"/>
        <v>60833.333333333336</v>
      </c>
      <c r="AD28" s="5">
        <f t="shared" si="23"/>
        <v>60833.333333333336</v>
      </c>
      <c r="AE28" s="5">
        <f t="shared" si="23"/>
        <v>60833.333333333336</v>
      </c>
      <c r="AF28" s="5">
        <f t="shared" si="23"/>
        <v>60833.333333333336</v>
      </c>
      <c r="AG28" s="5">
        <f t="shared" si="23"/>
        <v>60833.333333333336</v>
      </c>
      <c r="AH28" s="5">
        <f t="shared" si="23"/>
        <v>60833.333333333336</v>
      </c>
      <c r="AI28" s="5">
        <f t="shared" si="23"/>
        <v>60833.333333333336</v>
      </c>
      <c r="AJ28" s="5">
        <f t="shared" si="23"/>
        <v>60833.333333333336</v>
      </c>
      <c r="AK28" s="5">
        <f t="shared" si="23"/>
        <v>60833.333333333336</v>
      </c>
      <c r="AL28" s="5">
        <f t="shared" si="23"/>
        <v>60833.333333333336</v>
      </c>
      <c r="AM28" s="5">
        <f t="shared" si="23"/>
        <v>60833.333333333336</v>
      </c>
      <c r="AN28" s="5">
        <f t="shared" si="23"/>
        <v>60833.333333333336</v>
      </c>
      <c r="AO28" s="5">
        <f t="shared" si="23"/>
        <v>60833.333333333336</v>
      </c>
      <c r="AP28" s="5">
        <f t="shared" si="23"/>
        <v>60833.333333333336</v>
      </c>
      <c r="AQ28" s="5">
        <f t="shared" si="23"/>
        <v>60833.333333333336</v>
      </c>
      <c r="AR28" s="5">
        <f t="shared" si="23"/>
        <v>60833.333333333336</v>
      </c>
      <c r="AS28" s="5">
        <f t="shared" si="23"/>
        <v>60833.333333333336</v>
      </c>
      <c r="AT28" s="5">
        <f t="shared" si="23"/>
        <v>60833.333333333336</v>
      </c>
      <c r="AU28" s="5">
        <f t="shared" si="23"/>
        <v>60833.333333333336</v>
      </c>
      <c r="AV28" s="5">
        <f t="shared" si="23"/>
        <v>60833.333333333336</v>
      </c>
      <c r="AW28" s="5">
        <f t="shared" si="23"/>
        <v>60833.333333333336</v>
      </c>
      <c r="AX28" s="5">
        <f t="shared" si="23"/>
        <v>60833.333333333336</v>
      </c>
      <c r="AY28" s="5">
        <f t="shared" si="23"/>
        <v>60833.333333333336</v>
      </c>
      <c r="AZ28" s="5">
        <f t="shared" si="23"/>
        <v>60833.333333333336</v>
      </c>
      <c r="BA28" s="5">
        <f t="shared" si="23"/>
        <v>60833.333333333336</v>
      </c>
      <c r="BB28" s="5">
        <f t="shared" si="23"/>
        <v>60833.333333333336</v>
      </c>
      <c r="BC28" s="5">
        <f t="shared" si="23"/>
        <v>60833.333333333336</v>
      </c>
      <c r="BD28" s="5">
        <f t="shared" si="23"/>
        <v>60833.333333333336</v>
      </c>
      <c r="BE28" s="5">
        <f t="shared" si="23"/>
        <v>64166.666666666664</v>
      </c>
      <c r="BF28" s="5">
        <f t="shared" si="23"/>
        <v>64166.666666666664</v>
      </c>
      <c r="BG28" s="5">
        <f>SUM(BG16:BG27)</f>
        <v>64166.666666666664</v>
      </c>
      <c r="BH28" s="5">
        <f t="shared" ref="BH28" si="24">SUM(BH16:BH27)</f>
        <v>64166.666666666664</v>
      </c>
      <c r="BI28" s="5">
        <f t="shared" ref="BI28" si="25">SUM(BI16:BI27)</f>
        <v>64166.666666666664</v>
      </c>
      <c r="BJ28" s="5">
        <f t="shared" ref="BJ28" si="26">SUM(BJ16:BJ27)</f>
        <v>64166.666666666664</v>
      </c>
    </row>
    <row r="29" spans="1:62" s="5" customFormat="1" x14ac:dyDescent="0.2">
      <c r="B29" s="5" t="s">
        <v>83</v>
      </c>
      <c r="C29" s="63">
        <v>7083.3333333333339</v>
      </c>
      <c r="D29" s="63">
        <v>7083.3333333333339</v>
      </c>
      <c r="E29" s="63">
        <v>10208.333333333334</v>
      </c>
      <c r="F29" s="63">
        <v>12291.666666666668</v>
      </c>
      <c r="G29" s="63">
        <v>12291.666666666668</v>
      </c>
      <c r="H29" s="5">
        <f t="shared" ref="H29:AH29" si="27">H28*TaxesAndBenefits</f>
        <v>12291.666666666668</v>
      </c>
      <c r="I29" s="5">
        <f t="shared" si="27"/>
        <v>12291.666666666668</v>
      </c>
      <c r="J29" s="5">
        <f t="shared" si="27"/>
        <v>12291.666666666668</v>
      </c>
      <c r="K29" s="5">
        <f t="shared" si="27"/>
        <v>12291.666666666668</v>
      </c>
      <c r="L29" s="5">
        <f t="shared" si="27"/>
        <v>12291.666666666668</v>
      </c>
      <c r="M29" s="5">
        <f t="shared" si="27"/>
        <v>12291.666666666668</v>
      </c>
      <c r="N29" s="5">
        <f t="shared" si="27"/>
        <v>12291.666666666668</v>
      </c>
      <c r="O29" s="5">
        <f t="shared" si="27"/>
        <v>14375</v>
      </c>
      <c r="P29" s="5">
        <f t="shared" si="27"/>
        <v>14375</v>
      </c>
      <c r="Q29" s="5">
        <f t="shared" si="27"/>
        <v>14375</v>
      </c>
      <c r="R29" s="5">
        <f t="shared" si="27"/>
        <v>14375</v>
      </c>
      <c r="S29" s="5">
        <f t="shared" si="27"/>
        <v>14375</v>
      </c>
      <c r="T29" s="5">
        <f t="shared" si="27"/>
        <v>14375</v>
      </c>
      <c r="U29" s="5">
        <f t="shared" si="27"/>
        <v>14375</v>
      </c>
      <c r="V29" s="5">
        <f t="shared" si="27"/>
        <v>14375</v>
      </c>
      <c r="W29" s="5">
        <f t="shared" si="27"/>
        <v>14375</v>
      </c>
      <c r="X29" s="5">
        <f t="shared" si="27"/>
        <v>15208.333333333334</v>
      </c>
      <c r="Y29" s="5">
        <f t="shared" si="27"/>
        <v>15208.333333333334</v>
      </c>
      <c r="Z29" s="5">
        <f t="shared" si="27"/>
        <v>15208.333333333334</v>
      </c>
      <c r="AA29" s="5">
        <f t="shared" si="27"/>
        <v>15208.333333333334</v>
      </c>
      <c r="AB29" s="5">
        <f t="shared" si="27"/>
        <v>15208.333333333334</v>
      </c>
      <c r="AC29" s="5">
        <f t="shared" si="27"/>
        <v>15208.333333333334</v>
      </c>
      <c r="AD29" s="5">
        <f t="shared" si="27"/>
        <v>15208.333333333334</v>
      </c>
      <c r="AE29" s="5">
        <f t="shared" si="27"/>
        <v>15208.333333333334</v>
      </c>
      <c r="AF29" s="5">
        <f t="shared" si="27"/>
        <v>15208.333333333334</v>
      </c>
      <c r="AG29" s="5">
        <f t="shared" si="27"/>
        <v>15208.333333333334</v>
      </c>
      <c r="AH29" s="5">
        <f t="shared" si="27"/>
        <v>15208.333333333334</v>
      </c>
      <c r="AI29" s="5">
        <f t="shared" ref="AI29:BJ29" si="28">AI28*TaxesAndBenefits</f>
        <v>15208.333333333334</v>
      </c>
      <c r="AJ29" s="5">
        <f t="shared" si="28"/>
        <v>15208.333333333334</v>
      </c>
      <c r="AK29" s="5">
        <f t="shared" si="28"/>
        <v>15208.333333333334</v>
      </c>
      <c r="AL29" s="5">
        <f t="shared" si="28"/>
        <v>15208.333333333334</v>
      </c>
      <c r="AM29" s="5">
        <f t="shared" si="28"/>
        <v>15208.333333333334</v>
      </c>
      <c r="AN29" s="5">
        <f t="shared" si="28"/>
        <v>15208.333333333334</v>
      </c>
      <c r="AO29" s="5">
        <f t="shared" si="28"/>
        <v>15208.333333333334</v>
      </c>
      <c r="AP29" s="5">
        <f t="shared" si="28"/>
        <v>15208.333333333334</v>
      </c>
      <c r="AQ29" s="5">
        <f t="shared" si="28"/>
        <v>15208.333333333334</v>
      </c>
      <c r="AR29" s="5">
        <f t="shared" si="28"/>
        <v>15208.333333333334</v>
      </c>
      <c r="AS29" s="5">
        <f t="shared" si="28"/>
        <v>15208.333333333334</v>
      </c>
      <c r="AT29" s="5">
        <f t="shared" si="28"/>
        <v>15208.333333333334</v>
      </c>
      <c r="AU29" s="5">
        <f t="shared" si="28"/>
        <v>15208.333333333334</v>
      </c>
      <c r="AV29" s="5">
        <f t="shared" si="28"/>
        <v>15208.333333333334</v>
      </c>
      <c r="AW29" s="5">
        <f t="shared" si="28"/>
        <v>15208.333333333334</v>
      </c>
      <c r="AX29" s="5">
        <f t="shared" si="28"/>
        <v>15208.333333333334</v>
      </c>
      <c r="AY29" s="5">
        <f t="shared" si="28"/>
        <v>15208.333333333334</v>
      </c>
      <c r="AZ29" s="5">
        <f t="shared" si="28"/>
        <v>15208.333333333334</v>
      </c>
      <c r="BA29" s="5">
        <f t="shared" si="28"/>
        <v>15208.333333333334</v>
      </c>
      <c r="BB29" s="5">
        <f t="shared" si="28"/>
        <v>15208.333333333334</v>
      </c>
      <c r="BC29" s="5">
        <f t="shared" si="28"/>
        <v>15208.333333333334</v>
      </c>
      <c r="BD29" s="5">
        <f t="shared" si="28"/>
        <v>15208.333333333334</v>
      </c>
      <c r="BE29" s="5">
        <f t="shared" si="28"/>
        <v>16041.666666666666</v>
      </c>
      <c r="BF29" s="5">
        <f t="shared" si="28"/>
        <v>16041.666666666666</v>
      </c>
      <c r="BG29" s="5">
        <f t="shared" si="28"/>
        <v>16041.666666666666</v>
      </c>
      <c r="BH29" s="5">
        <f t="shared" si="28"/>
        <v>16041.666666666666</v>
      </c>
      <c r="BI29" s="5">
        <f t="shared" si="28"/>
        <v>16041.666666666666</v>
      </c>
      <c r="BJ29" s="5">
        <f t="shared" si="28"/>
        <v>16041.666666666666</v>
      </c>
    </row>
    <row r="30" spans="1:62" s="3" customFormat="1" x14ac:dyDescent="0.2">
      <c r="B30" s="3" t="s">
        <v>84</v>
      </c>
      <c r="C30" s="71">
        <v>35416.666666666672</v>
      </c>
      <c r="D30" s="71">
        <v>35416.666666666672</v>
      </c>
      <c r="E30" s="71">
        <v>51041.666666666672</v>
      </c>
      <c r="F30" s="71">
        <v>61458.333333333343</v>
      </c>
      <c r="G30" s="71">
        <v>61458.333333333343</v>
      </c>
      <c r="H30" s="15">
        <f t="shared" ref="H30:BF30" si="29">SUM(H28:H29)</f>
        <v>61458.333333333343</v>
      </c>
      <c r="I30" s="15">
        <f t="shared" si="29"/>
        <v>61458.333333333343</v>
      </c>
      <c r="J30" s="15">
        <f t="shared" si="29"/>
        <v>61458.333333333343</v>
      </c>
      <c r="K30" s="15">
        <f t="shared" si="29"/>
        <v>61458.333333333343</v>
      </c>
      <c r="L30" s="15">
        <f t="shared" si="29"/>
        <v>61458.333333333343</v>
      </c>
      <c r="M30" s="15">
        <f t="shared" si="29"/>
        <v>61458.333333333343</v>
      </c>
      <c r="N30" s="15">
        <f t="shared" si="29"/>
        <v>61458.333333333343</v>
      </c>
      <c r="O30" s="15">
        <f t="shared" si="29"/>
        <v>71875</v>
      </c>
      <c r="P30" s="15">
        <f t="shared" si="29"/>
        <v>71875</v>
      </c>
      <c r="Q30" s="15">
        <f t="shared" si="29"/>
        <v>71875</v>
      </c>
      <c r="R30" s="15">
        <f t="shared" si="29"/>
        <v>71875</v>
      </c>
      <c r="S30" s="15">
        <f t="shared" si="29"/>
        <v>71875</v>
      </c>
      <c r="T30" s="15">
        <f t="shared" si="29"/>
        <v>71875</v>
      </c>
      <c r="U30" s="15">
        <f t="shared" si="29"/>
        <v>71875</v>
      </c>
      <c r="V30" s="15">
        <f t="shared" si="29"/>
        <v>71875</v>
      </c>
      <c r="W30" s="15">
        <f t="shared" si="29"/>
        <v>71875</v>
      </c>
      <c r="X30" s="15">
        <f t="shared" si="29"/>
        <v>76041.666666666672</v>
      </c>
      <c r="Y30" s="15">
        <f t="shared" si="29"/>
        <v>76041.666666666672</v>
      </c>
      <c r="Z30" s="15">
        <f t="shared" si="29"/>
        <v>76041.666666666672</v>
      </c>
      <c r="AA30" s="15">
        <f t="shared" si="29"/>
        <v>76041.666666666672</v>
      </c>
      <c r="AB30" s="15">
        <f t="shared" si="29"/>
        <v>76041.666666666672</v>
      </c>
      <c r="AC30" s="15">
        <f t="shared" si="29"/>
        <v>76041.666666666672</v>
      </c>
      <c r="AD30" s="15">
        <f t="shared" si="29"/>
        <v>76041.666666666672</v>
      </c>
      <c r="AE30" s="15">
        <f t="shared" si="29"/>
        <v>76041.666666666672</v>
      </c>
      <c r="AF30" s="15">
        <f t="shared" si="29"/>
        <v>76041.666666666672</v>
      </c>
      <c r="AG30" s="15">
        <f t="shared" si="29"/>
        <v>76041.666666666672</v>
      </c>
      <c r="AH30" s="15">
        <f t="shared" si="29"/>
        <v>76041.666666666672</v>
      </c>
      <c r="AI30" s="15">
        <f t="shared" si="29"/>
        <v>76041.666666666672</v>
      </c>
      <c r="AJ30" s="15">
        <f t="shared" si="29"/>
        <v>76041.666666666672</v>
      </c>
      <c r="AK30" s="15">
        <f t="shared" si="29"/>
        <v>76041.666666666672</v>
      </c>
      <c r="AL30" s="15">
        <f t="shared" si="29"/>
        <v>76041.666666666672</v>
      </c>
      <c r="AM30" s="15">
        <f t="shared" si="29"/>
        <v>76041.666666666672</v>
      </c>
      <c r="AN30" s="15">
        <f t="shared" si="29"/>
        <v>76041.666666666672</v>
      </c>
      <c r="AO30" s="15">
        <f t="shared" si="29"/>
        <v>76041.666666666672</v>
      </c>
      <c r="AP30" s="15">
        <f t="shared" si="29"/>
        <v>76041.666666666672</v>
      </c>
      <c r="AQ30" s="15">
        <f t="shared" si="29"/>
        <v>76041.666666666672</v>
      </c>
      <c r="AR30" s="15">
        <f t="shared" si="29"/>
        <v>76041.666666666672</v>
      </c>
      <c r="AS30" s="15">
        <f t="shared" si="29"/>
        <v>76041.666666666672</v>
      </c>
      <c r="AT30" s="15">
        <f t="shared" si="29"/>
        <v>76041.666666666672</v>
      </c>
      <c r="AU30" s="15">
        <f t="shared" si="29"/>
        <v>76041.666666666672</v>
      </c>
      <c r="AV30" s="15">
        <f t="shared" si="29"/>
        <v>76041.666666666672</v>
      </c>
      <c r="AW30" s="15">
        <f t="shared" si="29"/>
        <v>76041.666666666672</v>
      </c>
      <c r="AX30" s="15">
        <f t="shared" si="29"/>
        <v>76041.666666666672</v>
      </c>
      <c r="AY30" s="15">
        <f t="shared" si="29"/>
        <v>76041.666666666672</v>
      </c>
      <c r="AZ30" s="15">
        <f t="shared" si="29"/>
        <v>76041.666666666672</v>
      </c>
      <c r="BA30" s="15">
        <f t="shared" si="29"/>
        <v>76041.666666666672</v>
      </c>
      <c r="BB30" s="15">
        <f t="shared" si="29"/>
        <v>76041.666666666672</v>
      </c>
      <c r="BC30" s="15">
        <f t="shared" si="29"/>
        <v>76041.666666666672</v>
      </c>
      <c r="BD30" s="15">
        <f t="shared" si="29"/>
        <v>76041.666666666672</v>
      </c>
      <c r="BE30" s="15">
        <f t="shared" si="29"/>
        <v>80208.333333333328</v>
      </c>
      <c r="BF30" s="15">
        <f t="shared" si="29"/>
        <v>80208.333333333328</v>
      </c>
      <c r="BG30" s="15">
        <f>SUM(BG28:BG29)</f>
        <v>80208.333333333328</v>
      </c>
      <c r="BH30" s="15">
        <f t="shared" ref="BH30" si="30">SUM(BH28:BH29)</f>
        <v>80208.333333333328</v>
      </c>
      <c r="BI30" s="15">
        <f t="shared" ref="BI30" si="31">SUM(BI28:BI29)</f>
        <v>80208.333333333328</v>
      </c>
      <c r="BJ30" s="15">
        <f t="shared" ref="BJ30" si="32">SUM(BJ28:BJ29)</f>
        <v>80208.333333333328</v>
      </c>
    </row>
  </sheetData>
  <pageMargins left="0.75" right="0.75" top="1" bottom="1" header="0.5" footer="0.5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19"/>
  <sheetViews>
    <sheetView zoomScale="170" zoomScaleNormal="170" workbookViewId="0">
      <selection activeCell="E11" sqref="E11"/>
    </sheetView>
    <sheetView zoomScale="220" zoomScaleNormal="220" zoomScalePageLayoutView="200" workbookViewId="1">
      <selection activeCell="C56" sqref="C56"/>
    </sheetView>
  </sheetViews>
  <sheetFormatPr baseColWidth="10" defaultRowHeight="16" x14ac:dyDescent="0.2"/>
  <cols>
    <col min="1" max="1" width="3.6640625" customWidth="1"/>
    <col min="2" max="2" width="40" bestFit="1" customWidth="1"/>
    <col min="3" max="3" width="9.1640625" bestFit="1" customWidth="1"/>
    <col min="4" max="4" width="19.33203125" customWidth="1"/>
  </cols>
  <sheetData>
    <row r="2" spans="2:5" x14ac:dyDescent="0.2">
      <c r="B2" s="3" t="s">
        <v>68</v>
      </c>
    </row>
    <row r="3" spans="2:5" x14ac:dyDescent="0.2">
      <c r="B3" s="44" t="s">
        <v>171</v>
      </c>
      <c r="C3" s="11">
        <f>'Sales Detail'!N15</f>
        <v>29.99</v>
      </c>
    </row>
    <row r="4" spans="2:5" x14ac:dyDescent="0.2">
      <c r="B4" s="3"/>
    </row>
    <row r="5" spans="2:5" x14ac:dyDescent="0.2">
      <c r="B5" t="s">
        <v>175</v>
      </c>
      <c r="C5" s="11">
        <f>C3*SubscriptionMargin</f>
        <v>7.4974999999999996</v>
      </c>
    </row>
    <row r="6" spans="2:5" x14ac:dyDescent="0.2">
      <c r="B6" t="s">
        <v>173</v>
      </c>
      <c r="C6" s="76">
        <f>1/MonthlySubscriptionChurn</f>
        <v>25</v>
      </c>
    </row>
    <row r="7" spans="2:5" x14ac:dyDescent="0.2">
      <c r="B7" s="3" t="s">
        <v>176</v>
      </c>
      <c r="C7" s="7">
        <f>C5*C6</f>
        <v>187.4375</v>
      </c>
    </row>
    <row r="9" spans="2:5" x14ac:dyDescent="0.2">
      <c r="B9" t="s">
        <v>179</v>
      </c>
      <c r="C9" s="17">
        <f>'Sales Detail'!N19</f>
        <v>0.15500000000000003</v>
      </c>
    </row>
    <row r="10" spans="2:5" x14ac:dyDescent="0.2">
      <c r="B10" t="s">
        <v>178</v>
      </c>
      <c r="C10" s="11">
        <f>'Sales Detail'!C20</f>
        <v>15.84</v>
      </c>
    </row>
    <row r="11" spans="2:5" x14ac:dyDescent="0.2">
      <c r="B11" s="3" t="s">
        <v>177</v>
      </c>
      <c r="C11" s="7">
        <f>C10*C9*C6*eCommerceMargin</f>
        <v>18.414000000000001</v>
      </c>
    </row>
    <row r="13" spans="2:5" x14ac:dyDescent="0.2">
      <c r="B13" s="3" t="s">
        <v>180</v>
      </c>
      <c r="C13" s="45">
        <f>C11+C7</f>
        <v>205.85149999999999</v>
      </c>
    </row>
    <row r="15" spans="2:5" x14ac:dyDescent="0.2">
      <c r="B15" s="3" t="s">
        <v>172</v>
      </c>
      <c r="C15" s="9" t="s">
        <v>141</v>
      </c>
      <c r="D15" s="9" t="s">
        <v>142</v>
      </c>
      <c r="E15" s="9" t="s">
        <v>143</v>
      </c>
    </row>
    <row r="16" spans="2:5" x14ac:dyDescent="0.2">
      <c r="B16" t="s">
        <v>69</v>
      </c>
      <c r="C16" s="4">
        <f>AverageCPConFACEBOOK/FacebookToSubscriber</f>
        <v>185</v>
      </c>
      <c r="D16" s="10">
        <f>C16/C13*C6</f>
        <v>22.467652652518929</v>
      </c>
      <c r="E16" s="46">
        <f>C13/C16</f>
        <v>1.1127108108108108</v>
      </c>
    </row>
    <row r="17" spans="2:5" x14ac:dyDescent="0.2">
      <c r="B17" t="s">
        <v>70</v>
      </c>
      <c r="C17" s="4">
        <f>AverageCPCGoogle/SEMToSubscriber</f>
        <v>112.5</v>
      </c>
      <c r="D17" s="10">
        <f>C17/C13*C6</f>
        <v>13.662761748153402</v>
      </c>
      <c r="E17" s="46">
        <f>C13/C17</f>
        <v>1.8297911111111109</v>
      </c>
    </row>
    <row r="19" spans="2:5" x14ac:dyDescent="0.2">
      <c r="B19" s="3"/>
    </row>
  </sheetData>
  <pageMargins left="0.75" right="0.75" top="1" bottom="1" header="0.5" footer="0.5"/>
  <pageSetup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153C-1287-AF4F-AE9C-92805DF82ABB}">
  <dimension ref="B1:O53"/>
  <sheetViews>
    <sheetView workbookViewId="0"/>
    <sheetView zoomScale="190" zoomScaleNormal="190" workbookViewId="1">
      <selection activeCell="F49" sqref="F49"/>
    </sheetView>
  </sheetViews>
  <sheetFormatPr baseColWidth="10" defaultRowHeight="16" x14ac:dyDescent="0.2"/>
  <cols>
    <col min="1" max="1" width="5.1640625" customWidth="1"/>
    <col min="2" max="2" width="11.6640625" bestFit="1" customWidth="1"/>
  </cols>
  <sheetData>
    <row r="1" spans="2:15" ht="17" thickBot="1" x14ac:dyDescent="0.25"/>
    <row r="2" spans="2:15" x14ac:dyDescent="0.2">
      <c r="B2" s="91" t="s">
        <v>195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</row>
    <row r="3" spans="2:15" ht="17" thickBot="1" x14ac:dyDescent="0.25">
      <c r="B3" s="94"/>
      <c r="C3" s="95" t="s">
        <v>182</v>
      </c>
      <c r="D3" s="95" t="s">
        <v>183</v>
      </c>
      <c r="E3" s="95" t="s">
        <v>184</v>
      </c>
      <c r="F3" s="95" t="s">
        <v>185</v>
      </c>
      <c r="G3" s="95" t="s">
        <v>186</v>
      </c>
      <c r="H3" s="95" t="s">
        <v>187</v>
      </c>
      <c r="I3" s="95" t="s">
        <v>188</v>
      </c>
      <c r="J3" s="95" t="s">
        <v>189</v>
      </c>
      <c r="K3" s="95" t="s">
        <v>190</v>
      </c>
      <c r="L3" s="95" t="s">
        <v>191</v>
      </c>
      <c r="M3" s="95" t="s">
        <v>192</v>
      </c>
      <c r="N3" s="96" t="s">
        <v>193</v>
      </c>
      <c r="O3" s="78"/>
    </row>
    <row r="4" spans="2:15" x14ac:dyDescent="0.2">
      <c r="B4" s="80" t="s">
        <v>194</v>
      </c>
      <c r="C4" s="81">
        <v>100</v>
      </c>
      <c r="D4" s="81">
        <v>108</v>
      </c>
      <c r="E4" s="81">
        <v>110</v>
      </c>
      <c r="F4" s="81">
        <v>125</v>
      </c>
      <c r="G4" s="81">
        <v>250</v>
      </c>
      <c r="H4" s="81">
        <v>400</v>
      </c>
      <c r="I4" s="81">
        <v>575</v>
      </c>
      <c r="J4" s="81">
        <v>700</v>
      </c>
      <c r="K4" s="81">
        <v>800</v>
      </c>
      <c r="L4" s="81">
        <v>900</v>
      </c>
      <c r="M4" s="81">
        <v>1000</v>
      </c>
      <c r="N4" s="82">
        <v>1100</v>
      </c>
    </row>
    <row r="5" spans="2:15" x14ac:dyDescent="0.2">
      <c r="B5" s="79" t="s">
        <v>182</v>
      </c>
      <c r="C5" s="86">
        <v>99</v>
      </c>
      <c r="D5" s="84">
        <v>105</v>
      </c>
      <c r="E5" s="84">
        <v>107</v>
      </c>
      <c r="F5" s="84">
        <v>110</v>
      </c>
      <c r="G5" s="84">
        <v>230</v>
      </c>
      <c r="H5" s="84">
        <v>410</v>
      </c>
      <c r="I5" s="84">
        <v>580</v>
      </c>
      <c r="J5" s="84">
        <v>712</v>
      </c>
      <c r="K5" s="84">
        <v>815</v>
      </c>
      <c r="L5" s="84">
        <v>910</v>
      </c>
      <c r="M5" s="84">
        <v>1025</v>
      </c>
      <c r="N5" s="85">
        <v>1125</v>
      </c>
    </row>
    <row r="6" spans="2:15" x14ac:dyDescent="0.2">
      <c r="B6" s="79" t="s">
        <v>183</v>
      </c>
      <c r="C6" s="84"/>
      <c r="D6" s="86">
        <v>100</v>
      </c>
      <c r="E6" s="84">
        <v>105</v>
      </c>
      <c r="F6" s="84">
        <v>108</v>
      </c>
      <c r="G6" s="84">
        <v>225</v>
      </c>
      <c r="H6" s="84">
        <v>405</v>
      </c>
      <c r="I6" s="84">
        <v>560</v>
      </c>
      <c r="J6" s="84">
        <v>690</v>
      </c>
      <c r="K6" s="84">
        <v>805</v>
      </c>
      <c r="L6" s="84">
        <v>905</v>
      </c>
      <c r="M6" s="84">
        <v>1020</v>
      </c>
      <c r="N6" s="85">
        <v>1120</v>
      </c>
    </row>
    <row r="7" spans="2:15" x14ac:dyDescent="0.2">
      <c r="B7" s="79" t="s">
        <v>184</v>
      </c>
      <c r="C7" s="84"/>
      <c r="D7" s="84"/>
      <c r="E7" s="86">
        <v>106</v>
      </c>
      <c r="F7" s="84">
        <v>110</v>
      </c>
      <c r="G7" s="84">
        <v>240</v>
      </c>
      <c r="H7" s="84">
        <v>404</v>
      </c>
      <c r="I7" s="84">
        <v>555</v>
      </c>
      <c r="J7" s="84">
        <v>688</v>
      </c>
      <c r="K7" s="84">
        <v>800</v>
      </c>
      <c r="L7" s="84">
        <v>900</v>
      </c>
      <c r="M7" s="84">
        <v>1005</v>
      </c>
      <c r="N7" s="85">
        <v>1110</v>
      </c>
    </row>
    <row r="8" spans="2:15" x14ac:dyDescent="0.2">
      <c r="B8" s="79" t="s">
        <v>185</v>
      </c>
      <c r="C8" s="84"/>
      <c r="D8" s="84"/>
      <c r="E8" s="84"/>
      <c r="F8" s="86">
        <v>111</v>
      </c>
      <c r="G8" s="84">
        <v>255</v>
      </c>
      <c r="H8" s="84">
        <v>412</v>
      </c>
      <c r="I8" s="84">
        <v>548</v>
      </c>
      <c r="J8" s="84">
        <v>676</v>
      </c>
      <c r="K8" s="84">
        <v>805</v>
      </c>
      <c r="L8" s="84">
        <v>920</v>
      </c>
      <c r="M8" s="84">
        <v>1020</v>
      </c>
      <c r="N8" s="85">
        <v>1135</v>
      </c>
    </row>
    <row r="9" spans="2:15" x14ac:dyDescent="0.2">
      <c r="B9" s="79" t="s">
        <v>186</v>
      </c>
      <c r="C9" s="84"/>
      <c r="D9" s="84"/>
      <c r="E9" s="84"/>
      <c r="F9" s="84"/>
      <c r="G9" s="83">
        <v>259</v>
      </c>
      <c r="H9" s="84">
        <v>403</v>
      </c>
      <c r="I9" s="84">
        <v>542</v>
      </c>
      <c r="J9" s="84">
        <v>675</v>
      </c>
      <c r="K9" s="84">
        <v>804</v>
      </c>
      <c r="L9" s="84">
        <v>929</v>
      </c>
      <c r="M9" s="84">
        <v>1049</v>
      </c>
      <c r="N9" s="85">
        <v>1165</v>
      </c>
    </row>
    <row r="10" spans="2:15" x14ac:dyDescent="0.2">
      <c r="B10" s="79" t="s">
        <v>187</v>
      </c>
      <c r="C10" s="84"/>
      <c r="D10" s="84"/>
      <c r="E10" s="84"/>
      <c r="F10" s="84"/>
      <c r="G10" s="84"/>
      <c r="H10" s="87"/>
      <c r="I10" s="84"/>
      <c r="J10" s="84"/>
      <c r="K10" s="84"/>
      <c r="L10" s="84"/>
      <c r="M10" s="84"/>
      <c r="N10" s="85"/>
    </row>
    <row r="11" spans="2:15" x14ac:dyDescent="0.2">
      <c r="B11" s="79" t="s">
        <v>188</v>
      </c>
      <c r="C11" s="84"/>
      <c r="D11" s="84"/>
      <c r="E11" s="84"/>
      <c r="F11" s="84"/>
      <c r="G11" s="84"/>
      <c r="H11" s="84"/>
      <c r="I11" s="87"/>
      <c r="J11" s="84"/>
      <c r="K11" s="84"/>
      <c r="L11" s="84"/>
      <c r="M11" s="84"/>
      <c r="N11" s="85"/>
    </row>
    <row r="12" spans="2:15" x14ac:dyDescent="0.2">
      <c r="B12" s="79" t="s">
        <v>189</v>
      </c>
      <c r="C12" s="84"/>
      <c r="D12" s="84"/>
      <c r="E12" s="84"/>
      <c r="F12" s="84"/>
      <c r="G12" s="84"/>
      <c r="H12" s="84"/>
      <c r="I12" s="84"/>
      <c r="J12" s="87"/>
      <c r="K12" s="84"/>
      <c r="L12" s="84"/>
      <c r="M12" s="84"/>
      <c r="N12" s="85"/>
    </row>
    <row r="13" spans="2:15" x14ac:dyDescent="0.2">
      <c r="B13" s="79" t="s">
        <v>190</v>
      </c>
      <c r="C13" s="84"/>
      <c r="D13" s="84"/>
      <c r="E13" s="84"/>
      <c r="F13" s="84"/>
      <c r="G13" s="84"/>
      <c r="H13" s="84"/>
      <c r="I13" s="84"/>
      <c r="J13" s="84"/>
      <c r="K13" s="87"/>
      <c r="L13" s="84"/>
      <c r="M13" s="84"/>
      <c r="N13" s="85"/>
    </row>
    <row r="14" spans="2:15" x14ac:dyDescent="0.2">
      <c r="B14" s="79" t="s">
        <v>191</v>
      </c>
      <c r="C14" s="84"/>
      <c r="D14" s="84"/>
      <c r="E14" s="84"/>
      <c r="F14" s="84"/>
      <c r="G14" s="84"/>
      <c r="H14" s="84"/>
      <c r="I14" s="84"/>
      <c r="J14" s="84"/>
      <c r="K14" s="84"/>
      <c r="L14" s="87"/>
      <c r="M14" s="84"/>
      <c r="N14" s="85"/>
    </row>
    <row r="15" spans="2:15" x14ac:dyDescent="0.2">
      <c r="B15" s="79" t="s">
        <v>192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7"/>
      <c r="N15" s="85"/>
    </row>
    <row r="16" spans="2:15" ht="17" thickBot="1" x14ac:dyDescent="0.25">
      <c r="B16" s="88" t="s">
        <v>193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90"/>
    </row>
    <row r="17" spans="2:14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ht="294" customHeight="1" x14ac:dyDescent="0.2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">
      <c r="B19" t="s">
        <v>198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ht="17" thickBot="1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">
      <c r="B21" s="91" t="s">
        <v>196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3"/>
    </row>
    <row r="22" spans="2:14" ht="17" thickBot="1" x14ac:dyDescent="0.25">
      <c r="B22" s="94"/>
      <c r="C22" s="95" t="s">
        <v>182</v>
      </c>
      <c r="D22" s="95" t="s">
        <v>183</v>
      </c>
      <c r="E22" s="95" t="s">
        <v>184</v>
      </c>
      <c r="F22" s="95" t="s">
        <v>185</v>
      </c>
      <c r="G22" s="95" t="s">
        <v>186</v>
      </c>
      <c r="H22" s="95" t="s">
        <v>187</v>
      </c>
      <c r="I22" s="95" t="s">
        <v>188</v>
      </c>
      <c r="J22" s="95" t="s">
        <v>189</v>
      </c>
      <c r="K22" s="95" t="s">
        <v>190</v>
      </c>
      <c r="L22" s="95" t="s">
        <v>191</v>
      </c>
      <c r="M22" s="95" t="s">
        <v>192</v>
      </c>
      <c r="N22" s="96" t="s">
        <v>193</v>
      </c>
    </row>
    <row r="23" spans="2:14" x14ac:dyDescent="0.2">
      <c r="B23" s="80" t="s">
        <v>194</v>
      </c>
      <c r="C23" s="81">
        <v>3500</v>
      </c>
      <c r="D23" s="81">
        <v>4000</v>
      </c>
      <c r="E23" s="81">
        <v>4250</v>
      </c>
      <c r="F23" s="81">
        <v>5000</v>
      </c>
      <c r="G23" s="81">
        <v>20000</v>
      </c>
      <c r="H23" s="81">
        <v>26000</v>
      </c>
      <c r="I23" s="81">
        <v>32000</v>
      </c>
      <c r="J23" s="81">
        <v>36000</v>
      </c>
      <c r="K23" s="81">
        <v>42000</v>
      </c>
      <c r="L23" s="81">
        <v>45000</v>
      </c>
      <c r="M23" s="81">
        <v>50000</v>
      </c>
      <c r="N23" s="82">
        <v>55000</v>
      </c>
    </row>
    <row r="24" spans="2:14" x14ac:dyDescent="0.2">
      <c r="B24" s="79" t="s">
        <v>182</v>
      </c>
      <c r="C24" s="83">
        <v>3613.2637449999997</v>
      </c>
      <c r="D24" s="84">
        <v>3950</v>
      </c>
      <c r="E24" s="84">
        <v>4300</v>
      </c>
      <c r="F24" s="84">
        <v>5100</v>
      </c>
      <c r="G24" s="84">
        <v>21000</v>
      </c>
      <c r="H24" s="84">
        <v>27000</v>
      </c>
      <c r="I24" s="84">
        <v>32500</v>
      </c>
      <c r="J24" s="84">
        <v>36500</v>
      </c>
      <c r="K24" s="84">
        <v>43000</v>
      </c>
      <c r="L24" s="84">
        <v>45750</v>
      </c>
      <c r="M24" s="84">
        <v>51000</v>
      </c>
      <c r="N24" s="85">
        <v>56000</v>
      </c>
    </row>
    <row r="25" spans="2:14" x14ac:dyDescent="0.2">
      <c r="B25" s="79" t="s">
        <v>183</v>
      </c>
      <c r="C25" s="84"/>
      <c r="D25" s="86">
        <v>3941.3917240000001</v>
      </c>
      <c r="E25" s="84">
        <v>4325</v>
      </c>
      <c r="F25" s="84">
        <v>5200</v>
      </c>
      <c r="G25" s="84">
        <v>22000</v>
      </c>
      <c r="H25" s="84">
        <v>28000</v>
      </c>
      <c r="I25" s="84">
        <v>32125</v>
      </c>
      <c r="J25" s="84">
        <v>37000</v>
      </c>
      <c r="K25" s="84">
        <v>43500</v>
      </c>
      <c r="L25" s="84">
        <v>46000</v>
      </c>
      <c r="M25" s="84">
        <v>52000</v>
      </c>
      <c r="N25" s="85">
        <v>57000</v>
      </c>
    </row>
    <row r="26" spans="2:14" x14ac:dyDescent="0.2">
      <c r="B26" s="79" t="s">
        <v>184</v>
      </c>
      <c r="C26" s="84"/>
      <c r="D26" s="84"/>
      <c r="E26" s="83">
        <v>4353.519779799999</v>
      </c>
      <c r="F26" s="84">
        <v>5000</v>
      </c>
      <c r="G26" s="84">
        <v>22300</v>
      </c>
      <c r="H26" s="84">
        <v>27500</v>
      </c>
      <c r="I26" s="84">
        <v>32175</v>
      </c>
      <c r="J26" s="84">
        <v>37250</v>
      </c>
      <c r="K26" s="84">
        <v>43750</v>
      </c>
      <c r="L26" s="84">
        <v>46500</v>
      </c>
      <c r="M26" s="84">
        <v>52500</v>
      </c>
      <c r="N26" s="85">
        <v>57500</v>
      </c>
    </row>
    <row r="27" spans="2:14" x14ac:dyDescent="0.2">
      <c r="B27" s="79" t="s">
        <v>185</v>
      </c>
      <c r="C27" s="84"/>
      <c r="D27" s="84"/>
      <c r="E27" s="84"/>
      <c r="F27" s="86">
        <v>4916.8579048000001</v>
      </c>
      <c r="G27" s="84">
        <v>22400</v>
      </c>
      <c r="H27" s="84">
        <v>27550</v>
      </c>
      <c r="I27" s="84">
        <v>32200</v>
      </c>
      <c r="J27" s="84">
        <v>37500</v>
      </c>
      <c r="K27" s="84">
        <v>43000</v>
      </c>
      <c r="L27" s="84">
        <v>46600</v>
      </c>
      <c r="M27" s="84">
        <v>51000</v>
      </c>
      <c r="N27" s="85">
        <v>56000</v>
      </c>
    </row>
    <row r="28" spans="2:14" x14ac:dyDescent="0.2">
      <c r="B28" s="79" t="s">
        <v>186</v>
      </c>
      <c r="C28" s="84"/>
      <c r="D28" s="84"/>
      <c r="E28" s="84"/>
      <c r="F28" s="84"/>
      <c r="G28" s="83">
        <v>22465.296064000002</v>
      </c>
      <c r="H28" s="84">
        <v>27249.531166220801</v>
      </c>
      <c r="I28" s="84">
        <v>32198.760814729329</v>
      </c>
      <c r="J28" s="84">
        <v>36990.022123542345</v>
      </c>
      <c r="K28" s="84">
        <v>41729.044919540895</v>
      </c>
      <c r="L28" s="84">
        <v>46333.799381801684</v>
      </c>
      <c r="M28" s="84">
        <v>50853.046254275563</v>
      </c>
      <c r="N28" s="85">
        <v>55234.763611543654</v>
      </c>
    </row>
    <row r="29" spans="2:14" x14ac:dyDescent="0.2">
      <c r="B29" s="79" t="s">
        <v>187</v>
      </c>
      <c r="C29" s="84"/>
      <c r="D29" s="84"/>
      <c r="E29" s="84"/>
      <c r="F29" s="84"/>
      <c r="G29" s="84"/>
      <c r="H29" s="87"/>
      <c r="I29" s="84"/>
      <c r="J29" s="84"/>
      <c r="K29" s="84"/>
      <c r="L29" s="84"/>
      <c r="M29" s="84"/>
      <c r="N29" s="85"/>
    </row>
    <row r="30" spans="2:14" x14ac:dyDescent="0.2">
      <c r="B30" s="79" t="s">
        <v>188</v>
      </c>
      <c r="C30" s="84"/>
      <c r="D30" s="84"/>
      <c r="E30" s="84"/>
      <c r="F30" s="84"/>
      <c r="G30" s="84"/>
      <c r="H30" s="84"/>
      <c r="I30" s="87"/>
      <c r="J30" s="84"/>
      <c r="K30" s="84"/>
      <c r="L30" s="84"/>
      <c r="M30" s="84"/>
      <c r="N30" s="85"/>
    </row>
    <row r="31" spans="2:14" x14ac:dyDescent="0.2">
      <c r="B31" s="79" t="s">
        <v>189</v>
      </c>
      <c r="C31" s="84"/>
      <c r="D31" s="84"/>
      <c r="E31" s="84"/>
      <c r="F31" s="84"/>
      <c r="G31" s="84"/>
      <c r="H31" s="84"/>
      <c r="I31" s="84"/>
      <c r="J31" s="87"/>
      <c r="K31" s="84"/>
      <c r="L31" s="84"/>
      <c r="M31" s="84"/>
      <c r="N31" s="85"/>
    </row>
    <row r="32" spans="2:14" x14ac:dyDescent="0.2">
      <c r="B32" s="79" t="s">
        <v>190</v>
      </c>
      <c r="C32" s="84"/>
      <c r="D32" s="84"/>
      <c r="E32" s="84"/>
      <c r="F32" s="84"/>
      <c r="G32" s="84"/>
      <c r="H32" s="84"/>
      <c r="I32" s="84"/>
      <c r="J32" s="84"/>
      <c r="K32" s="87"/>
      <c r="L32" s="84"/>
      <c r="M32" s="84"/>
      <c r="N32" s="85"/>
    </row>
    <row r="33" spans="2:14" x14ac:dyDescent="0.2">
      <c r="B33" s="79" t="s">
        <v>191</v>
      </c>
      <c r="C33" s="84"/>
      <c r="D33" s="84"/>
      <c r="E33" s="84"/>
      <c r="F33" s="84"/>
      <c r="G33" s="84"/>
      <c r="H33" s="84"/>
      <c r="I33" s="84"/>
      <c r="J33" s="84"/>
      <c r="K33" s="84"/>
      <c r="L33" s="87"/>
      <c r="M33" s="84"/>
      <c r="N33" s="85"/>
    </row>
    <row r="34" spans="2:14" x14ac:dyDescent="0.2">
      <c r="B34" s="79" t="s">
        <v>192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7"/>
      <c r="N34" s="85"/>
    </row>
    <row r="35" spans="2:14" ht="17" thickBot="1" x14ac:dyDescent="0.25">
      <c r="B35" s="88" t="s">
        <v>193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90"/>
    </row>
    <row r="38" spans="2:14" ht="17" thickBot="1" x14ac:dyDescent="0.25"/>
    <row r="39" spans="2:14" x14ac:dyDescent="0.2">
      <c r="B39" s="91" t="s">
        <v>197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3"/>
    </row>
    <row r="40" spans="2:14" ht="17" thickBot="1" x14ac:dyDescent="0.25">
      <c r="B40" s="94"/>
      <c r="C40" s="95" t="s">
        <v>182</v>
      </c>
      <c r="D40" s="95" t="s">
        <v>183</v>
      </c>
      <c r="E40" s="95" t="s">
        <v>184</v>
      </c>
      <c r="F40" s="95" t="s">
        <v>185</v>
      </c>
      <c r="G40" s="95" t="s">
        <v>186</v>
      </c>
      <c r="H40" s="95" t="s">
        <v>187</v>
      </c>
      <c r="I40" s="95" t="s">
        <v>188</v>
      </c>
      <c r="J40" s="95" t="s">
        <v>189</v>
      </c>
      <c r="K40" s="95" t="s">
        <v>190</v>
      </c>
      <c r="L40" s="95" t="s">
        <v>191</v>
      </c>
      <c r="M40" s="95" t="s">
        <v>192</v>
      </c>
      <c r="N40" s="96" t="s">
        <v>193</v>
      </c>
    </row>
    <row r="41" spans="2:14" x14ac:dyDescent="0.2">
      <c r="B41" s="80" t="s">
        <v>194</v>
      </c>
      <c r="C41" s="81">
        <v>980000</v>
      </c>
      <c r="D41" s="81">
        <v>930000</v>
      </c>
      <c r="E41" s="81">
        <v>880000</v>
      </c>
      <c r="F41" s="81">
        <v>800000</v>
      </c>
      <c r="G41" s="81">
        <v>700000</v>
      </c>
      <c r="H41" s="81">
        <v>625000</v>
      </c>
      <c r="I41" s="81">
        <v>540000</v>
      </c>
      <c r="J41" s="81">
        <v>475000</v>
      </c>
      <c r="K41" s="81">
        <v>380000</v>
      </c>
      <c r="L41" s="81">
        <v>300000</v>
      </c>
      <c r="M41" s="81">
        <v>225000</v>
      </c>
      <c r="N41" s="82">
        <v>160000</v>
      </c>
    </row>
    <row r="42" spans="2:14" x14ac:dyDescent="0.2">
      <c r="B42" s="79" t="s">
        <v>182</v>
      </c>
      <c r="C42" s="86">
        <v>967395.34207833337</v>
      </c>
      <c r="D42" s="84">
        <v>929234</v>
      </c>
      <c r="E42" s="84">
        <v>879112</v>
      </c>
      <c r="F42" s="84">
        <v>798500</v>
      </c>
      <c r="G42" s="84">
        <v>698236</v>
      </c>
      <c r="H42" s="84">
        <v>621491</v>
      </c>
      <c r="I42" s="84">
        <v>538755</v>
      </c>
      <c r="J42" s="84">
        <v>472938</v>
      </c>
      <c r="K42" s="84">
        <v>375924</v>
      </c>
      <c r="L42" s="84">
        <v>299456</v>
      </c>
      <c r="M42" s="84">
        <v>220494</v>
      </c>
      <c r="N42" s="85">
        <v>155939</v>
      </c>
    </row>
    <row r="43" spans="2:14" x14ac:dyDescent="0.2">
      <c r="B43" s="79" t="s">
        <v>183</v>
      </c>
      <c r="C43" s="84"/>
      <c r="D43" s="86">
        <v>928367.55163566675</v>
      </c>
      <c r="E43" s="84">
        <v>881349</v>
      </c>
      <c r="F43" s="84">
        <v>801211</v>
      </c>
      <c r="G43" s="84">
        <v>695678</v>
      </c>
      <c r="H43" s="84">
        <v>619345</v>
      </c>
      <c r="I43" s="84">
        <v>536829</v>
      </c>
      <c r="J43" s="84">
        <v>471294</v>
      </c>
      <c r="K43" s="84">
        <v>372362</v>
      </c>
      <c r="L43" s="84">
        <v>301453</v>
      </c>
      <c r="M43" s="84">
        <v>218345</v>
      </c>
      <c r="N43" s="85">
        <v>156949</v>
      </c>
    </row>
    <row r="44" spans="2:14" x14ac:dyDescent="0.2">
      <c r="B44" s="79" t="s">
        <v>184</v>
      </c>
      <c r="C44" s="84"/>
      <c r="D44" s="84"/>
      <c r="E44" s="83">
        <v>883581.48974880006</v>
      </c>
      <c r="F44" s="84">
        <v>802093</v>
      </c>
      <c r="G44" s="84">
        <v>695034</v>
      </c>
      <c r="H44" s="84">
        <v>621356</v>
      </c>
      <c r="I44" s="84">
        <v>539234</v>
      </c>
      <c r="J44" s="84">
        <v>465923</v>
      </c>
      <c r="K44" s="84">
        <v>377444</v>
      </c>
      <c r="L44" s="84">
        <v>302345</v>
      </c>
      <c r="M44" s="84">
        <v>223491</v>
      </c>
      <c r="N44" s="85">
        <v>153939</v>
      </c>
    </row>
    <row r="45" spans="2:14" x14ac:dyDescent="0.2">
      <c r="B45" s="79" t="s">
        <v>185</v>
      </c>
      <c r="C45" s="84"/>
      <c r="D45" s="84"/>
      <c r="E45" s="84"/>
      <c r="F45" s="83">
        <v>802868.5053202667</v>
      </c>
      <c r="G45" s="84">
        <v>697233</v>
      </c>
      <c r="H45" s="84">
        <v>622089</v>
      </c>
      <c r="I45" s="84">
        <v>542391</v>
      </c>
      <c r="J45" s="84">
        <v>464230</v>
      </c>
      <c r="K45" s="84">
        <v>381284</v>
      </c>
      <c r="L45" s="84">
        <v>305848</v>
      </c>
      <c r="M45" s="84">
        <v>229484</v>
      </c>
      <c r="N45" s="85">
        <v>157094</v>
      </c>
    </row>
    <row r="46" spans="2:14" x14ac:dyDescent="0.2">
      <c r="B46" s="79" t="s">
        <v>186</v>
      </c>
      <c r="C46" s="84"/>
      <c r="D46" s="84"/>
      <c r="E46" s="84"/>
      <c r="F46" s="84"/>
      <c r="G46" s="86">
        <v>699900.31405093335</v>
      </c>
      <c r="H46" s="84">
        <v>622416.56216000952</v>
      </c>
      <c r="I46" s="84">
        <v>541334.08593449055</v>
      </c>
      <c r="J46" s="84">
        <v>461839.4080304227</v>
      </c>
      <c r="K46" s="84">
        <v>383898.99852101807</v>
      </c>
      <c r="L46" s="84">
        <v>307521.53473285504</v>
      </c>
      <c r="M46" s="84">
        <v>232684.67141503427</v>
      </c>
      <c r="N46" s="85">
        <v>159382.60161276936</v>
      </c>
    </row>
    <row r="47" spans="2:14" x14ac:dyDescent="0.2">
      <c r="B47" s="79" t="s">
        <v>187</v>
      </c>
      <c r="C47" s="84"/>
      <c r="D47" s="84"/>
      <c r="E47" s="84"/>
      <c r="F47" s="84"/>
      <c r="G47" s="84"/>
      <c r="H47" s="87"/>
      <c r="I47" s="84"/>
      <c r="J47" s="84"/>
      <c r="K47" s="84"/>
      <c r="L47" s="84"/>
      <c r="M47" s="84"/>
      <c r="N47" s="85"/>
    </row>
    <row r="48" spans="2:14" x14ac:dyDescent="0.2">
      <c r="B48" s="79" t="s">
        <v>188</v>
      </c>
      <c r="C48" s="84"/>
      <c r="D48" s="84"/>
      <c r="E48" s="84"/>
      <c r="F48" s="84"/>
      <c r="G48" s="84"/>
      <c r="H48" s="84"/>
      <c r="I48" s="87"/>
      <c r="J48" s="84"/>
      <c r="K48" s="84"/>
      <c r="L48" s="84"/>
      <c r="M48" s="84"/>
      <c r="N48" s="85"/>
    </row>
    <row r="49" spans="2:14" x14ac:dyDescent="0.2">
      <c r="B49" s="79" t="s">
        <v>189</v>
      </c>
      <c r="C49" s="84"/>
      <c r="D49" s="84"/>
      <c r="E49" s="84"/>
      <c r="F49" s="84"/>
      <c r="G49" s="84"/>
      <c r="H49" s="84"/>
      <c r="I49" s="84"/>
      <c r="J49" s="87"/>
      <c r="K49" s="84"/>
      <c r="L49" s="84"/>
      <c r="M49" s="84"/>
      <c r="N49" s="85"/>
    </row>
    <row r="50" spans="2:14" x14ac:dyDescent="0.2">
      <c r="B50" s="79" t="s">
        <v>190</v>
      </c>
      <c r="C50" s="84"/>
      <c r="D50" s="84"/>
      <c r="E50" s="84"/>
      <c r="F50" s="84"/>
      <c r="G50" s="84"/>
      <c r="H50" s="84"/>
      <c r="I50" s="84"/>
      <c r="J50" s="84"/>
      <c r="K50" s="87"/>
      <c r="L50" s="84"/>
      <c r="M50" s="84"/>
      <c r="N50" s="85"/>
    </row>
    <row r="51" spans="2:14" x14ac:dyDescent="0.2">
      <c r="B51" s="79" t="s">
        <v>191</v>
      </c>
      <c r="C51" s="84"/>
      <c r="D51" s="84"/>
      <c r="E51" s="84"/>
      <c r="F51" s="84"/>
      <c r="G51" s="84"/>
      <c r="H51" s="84"/>
      <c r="I51" s="84"/>
      <c r="J51" s="84"/>
      <c r="K51" s="84"/>
      <c r="L51" s="87"/>
      <c r="M51" s="84"/>
      <c r="N51" s="85"/>
    </row>
    <row r="52" spans="2:14" x14ac:dyDescent="0.2">
      <c r="B52" s="79" t="s">
        <v>192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7"/>
      <c r="N52" s="85"/>
    </row>
    <row r="53" spans="2:14" ht="17" thickBot="1" x14ac:dyDescent="0.25">
      <c r="B53" s="88" t="s">
        <v>193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90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40</vt:i4>
      </vt:variant>
    </vt:vector>
  </HeadingPairs>
  <TitlesOfParts>
    <vt:vector size="53" baseType="lpstr">
      <vt:lpstr>Assumptions</vt:lpstr>
      <vt:lpstr>Charts</vt:lpstr>
      <vt:lpstr>Annual Income Statement</vt:lpstr>
      <vt:lpstr>Annual Balance Sheet</vt:lpstr>
      <vt:lpstr>Annual Cash Flow</vt:lpstr>
      <vt:lpstr>Monthly Income Statement</vt:lpstr>
      <vt:lpstr>Monthly Balance Sheet</vt:lpstr>
      <vt:lpstr>Monthly Cash Flow</vt:lpstr>
      <vt:lpstr>Traffic Detail</vt:lpstr>
      <vt:lpstr>Sales Detail</vt:lpstr>
      <vt:lpstr>Employees</vt:lpstr>
      <vt:lpstr>Unit Economics</vt:lpstr>
      <vt:lpstr>Waterfalls</vt:lpstr>
      <vt:lpstr>AverageAPDays</vt:lpstr>
      <vt:lpstr>AverageARDays</vt:lpstr>
      <vt:lpstr>AverageCPCGoogle</vt:lpstr>
      <vt:lpstr>AverageCPConFACEBOOK</vt:lpstr>
      <vt:lpstr>CPMGrowthPerMonth</vt:lpstr>
      <vt:lpstr>DirectTrafficMultiplier</vt:lpstr>
      <vt:lpstr>eCommerceMargin</vt:lpstr>
      <vt:lpstr>FacebookToEcommerce</vt:lpstr>
      <vt:lpstr>FacebookToSubscriber</vt:lpstr>
      <vt:lpstr>InternetBaseCost</vt:lpstr>
      <vt:lpstr>InternetCostPer1MMVisits</vt:lpstr>
      <vt:lpstr>InventoryDaysOnHand</vt:lpstr>
      <vt:lpstr>LegalAndAccountingCostPerMonth</vt:lpstr>
      <vt:lpstr>MaxCPMOnAdsSold</vt:lpstr>
      <vt:lpstr>MaximumMktgSpendOfCash</vt:lpstr>
      <vt:lpstr>MonthlySubscriptionChurn</vt:lpstr>
      <vt:lpstr>MonthlySubscriptionPrice</vt:lpstr>
      <vt:lpstr>OpeningCashBalance</vt:lpstr>
      <vt:lpstr>OptionPoolPercentage</vt:lpstr>
      <vt:lpstr>OrdersPerWarehouseHelpPerson</vt:lpstr>
      <vt:lpstr>OrganicToEcommerceConversion</vt:lpstr>
      <vt:lpstr>OrganicToSubscriberConversion</vt:lpstr>
      <vt:lpstr>OrganicTrafficMonthlyGrowthRate</vt:lpstr>
      <vt:lpstr>PagesPerVisit</vt:lpstr>
      <vt:lpstr>PreMoneyMonth1</vt:lpstr>
      <vt:lpstr>RecruitingPerNewEmployee</vt:lpstr>
      <vt:lpstr>RentPerEmployee</vt:lpstr>
      <vt:lpstr>RevenueMultiple</vt:lpstr>
      <vt:lpstr>SEMToEcommerce</vt:lpstr>
      <vt:lpstr>SEMToSubscriber</vt:lpstr>
      <vt:lpstr>SeriesAFunding</vt:lpstr>
      <vt:lpstr>SteadyStateMonthlyFBSpend</vt:lpstr>
      <vt:lpstr>SteadyStateMonthlySEMSpend</vt:lpstr>
      <vt:lpstr>SubscriptionMargin</vt:lpstr>
      <vt:lpstr>TaxesAndBenefits</vt:lpstr>
      <vt:lpstr>TechCostPerEmployeePerMonth</vt:lpstr>
      <vt:lpstr>TrainingPerEmployeePerMonth</vt:lpstr>
      <vt:lpstr>TravelCostPerEmployeePerMonth</vt:lpstr>
      <vt:lpstr>VIsitsPerFBPicturePost</vt:lpstr>
      <vt:lpstr>VIsitsPerFBVideoPost</vt:lpstr>
    </vt:vector>
  </TitlesOfParts>
  <Company>Cardison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Henikoff</dc:creator>
  <cp:lastModifiedBy>Microsoft Office User</cp:lastModifiedBy>
  <dcterms:created xsi:type="dcterms:W3CDTF">2016-06-25T03:28:24Z</dcterms:created>
  <dcterms:modified xsi:type="dcterms:W3CDTF">2022-02-06T20:23:56Z</dcterms:modified>
</cp:coreProperties>
</file>